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20115" windowHeight="8880" tabRatio="866" activeTab="1"/>
  </bookViews>
  <sheets>
    <sheet name="BANG TH" sheetId="8" r:id="rId1"/>
    <sheet name="PHÁP LÝ" sheetId="26" r:id="rId2"/>
    <sheet name="N.T.P.Nie (T116)" sheetId="7" r:id="rId3"/>
    <sheet name="N.N.Như Ý (T117)" sheetId="2" r:id="rId4"/>
    <sheet name="N.Thị Hà (T118)" sheetId="9" r:id="rId5"/>
    <sheet name="L.THỊ THÀNH (T115)" sheetId="10" r:id="rId6"/>
    <sheet name="T.THỊ TÂM (T51)" sheetId="11" r:id="rId7"/>
    <sheet name="L.T.MỸ HÒA (T62)" sheetId="12" r:id="rId8"/>
    <sheet name="N.T.CẨM VÂN (T60)" sheetId="13" r:id="rId9"/>
    <sheet name="L.THỊ DẦU (T61)" sheetId="14" r:id="rId10"/>
    <sheet name="N.THANH MINH (T123)" sheetId="15" r:id="rId11"/>
    <sheet name="L.V.Quang (T95)" sheetId="16" r:id="rId12"/>
    <sheet name="L.V.Quang (T94)" sheetId="17" r:id="rId13"/>
    <sheet name="ĐĐSang(T214)" sheetId="25" r:id="rId14"/>
    <sheet name="ĐĐSang(T265)" sheetId="18" r:id="rId15"/>
    <sheet name="ĐĐSang(T272)" sheetId="19" r:id="rId16"/>
    <sheet name="LATuấn(T96)" sheetId="20" r:id="rId17"/>
    <sheet name="LATuấn(T97)" sheetId="21" r:id="rId18"/>
    <sheet name="LATuấn(T262)" sheetId="22" r:id="rId19"/>
    <sheet name="LATuấn(T288)" sheetId="23" r:id="rId20"/>
    <sheet name="LATuấn(T290)" sheetId="24" r:id="rId21"/>
  </sheets>
  <definedNames>
    <definedName name="_xlnm.Print_Area" localSheetId="0">'BANG TH'!$A$1:$Q$50</definedName>
    <definedName name="_xlnm.Print_Area" localSheetId="13">'ĐĐSang(T214)'!$A$2:$L$35</definedName>
    <definedName name="_xlnm.Print_Area" localSheetId="14">'ĐĐSang(T265)'!$A$2:$L$46</definedName>
    <definedName name="_xlnm.Print_Area" localSheetId="15">'ĐĐSang(T272)'!$A$2:$L$47</definedName>
    <definedName name="_xlnm.Print_Area" localSheetId="7">'L.T.MỸ HÒA (T62)'!$A$2:$L$36</definedName>
    <definedName name="_xlnm.Print_Area" localSheetId="9">'L.THỊ DẦU (T61)'!$A$2:$L$48</definedName>
    <definedName name="_xlnm.Print_Area" localSheetId="5">'L.THỊ THÀNH (T115)'!$A$2:$L$41</definedName>
    <definedName name="_xlnm.Print_Area" localSheetId="12">'L.V.Quang (T94)'!$A$2:$L$61</definedName>
    <definedName name="_xlnm.Print_Area" localSheetId="11">'L.V.Quang (T95)'!$A$2:$L$49</definedName>
    <definedName name="_xlnm.Print_Area" localSheetId="18">'LATuấn(T262)'!$A$2:$L$28</definedName>
    <definedName name="_xlnm.Print_Area" localSheetId="19">'LATuấn(T288)'!$A$2:$L$28</definedName>
    <definedName name="_xlnm.Print_Area" localSheetId="20">'LATuấn(T290)'!$A$2:$L$27</definedName>
    <definedName name="_xlnm.Print_Area" localSheetId="16">'LATuấn(T96)'!$A$2:$L$40</definedName>
    <definedName name="_xlnm.Print_Area" localSheetId="17">'LATuấn(T97)'!$A$2:$L$28</definedName>
    <definedName name="_xlnm.Print_Area" localSheetId="3">'N.N.Như Ý (T117)'!$A$2:$L$43</definedName>
    <definedName name="_xlnm.Print_Area" localSheetId="8">'N.T.CẨM VÂN (T60)'!$A$2:$L$57</definedName>
    <definedName name="_xlnm.Print_Area" localSheetId="2">'N.T.P.Nie (T116)'!$A$2:$L$49</definedName>
    <definedName name="_xlnm.Print_Area" localSheetId="10">'N.THANH MINH (T123)'!$A$2:$L$61</definedName>
    <definedName name="_xlnm.Print_Area" localSheetId="4">'N.Thị Hà (T118)'!$A$2:$L$49</definedName>
    <definedName name="_xlnm.Print_Area" localSheetId="1">'PHÁP LÝ'!$A$2:$P$33</definedName>
    <definedName name="_xlnm.Print_Area" localSheetId="6">'T.THỊ TÂM (T51)'!$A$2:$L$37</definedName>
    <definedName name="_xlnm.Print_Titles" localSheetId="0">'BANG TH'!$6:$8</definedName>
    <definedName name="_xlnm.Print_Titles" localSheetId="14">'ĐĐSang(T265)'!$2:$3</definedName>
    <definedName name="_xlnm.Print_Titles" localSheetId="7">'L.T.MỸ HÒA (T62)'!$2:$3</definedName>
    <definedName name="_xlnm.Print_Titles" localSheetId="9">'L.THỊ DẦU (T61)'!$2:$3</definedName>
    <definedName name="_xlnm.Print_Titles" localSheetId="5">'L.THỊ THÀNH (T115)'!$2:$3</definedName>
    <definedName name="_xlnm.Print_Titles" localSheetId="12">'L.V.Quang (T94)'!$2:$3</definedName>
    <definedName name="_xlnm.Print_Titles" localSheetId="11">'L.V.Quang (T95)'!$2:$3</definedName>
    <definedName name="_xlnm.Print_Titles" localSheetId="18">'LATuấn(T262)'!$2:$3</definedName>
    <definedName name="_xlnm.Print_Titles" localSheetId="19">'LATuấn(T288)'!$2:$3</definedName>
    <definedName name="_xlnm.Print_Titles" localSheetId="20">'LATuấn(T290)'!$2:$3</definedName>
    <definedName name="_xlnm.Print_Titles" localSheetId="16">'LATuấn(T96)'!$2:$3</definedName>
    <definedName name="_xlnm.Print_Titles" localSheetId="3">'N.N.Như Ý (T117)'!$2:$3</definedName>
    <definedName name="_xlnm.Print_Titles" localSheetId="8">'N.T.CẨM VÂN (T60)'!$2:$3</definedName>
    <definedName name="_xlnm.Print_Titles" localSheetId="2">'N.T.P.Nie (T116)'!$2:$3</definedName>
    <definedName name="_xlnm.Print_Titles" localSheetId="10">'N.THANH MINH (T123)'!$2:$3</definedName>
    <definedName name="_xlnm.Print_Titles" localSheetId="4">'N.Thị Hà (T118)'!$2:$3</definedName>
    <definedName name="_xlnm.Print_Titles" localSheetId="6">'T.THỊ TÂM (T51)'!$2:$3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19" l="1"/>
  <c r="F17" i="16" l="1"/>
  <c r="J17" i="16" s="1"/>
  <c r="J25" i="10"/>
  <c r="F29" i="15"/>
  <c r="F27" i="15"/>
  <c r="F18" i="13"/>
  <c r="F16" i="13"/>
  <c r="G19" i="10" l="1"/>
  <c r="O19" i="8" l="1"/>
  <c r="F19" i="8"/>
  <c r="M20" i="8"/>
  <c r="N20" i="8"/>
  <c r="E19" i="8"/>
  <c r="C19" i="8"/>
  <c r="B19" i="8"/>
  <c r="J45" i="17"/>
  <c r="P19" i="8" s="1"/>
  <c r="J43" i="17"/>
  <c r="J42" i="17"/>
  <c r="J41" i="17"/>
  <c r="J40" i="17"/>
  <c r="J39" i="17"/>
  <c r="J38" i="17"/>
  <c r="J37" i="17"/>
  <c r="J35" i="17" s="1"/>
  <c r="N19" i="8" s="1"/>
  <c r="J32" i="17"/>
  <c r="J30" i="17"/>
  <c r="G28" i="17"/>
  <c r="J28" i="17" s="1"/>
  <c r="J26" i="17"/>
  <c r="J24" i="17"/>
  <c r="N23" i="17"/>
  <c r="F22" i="17"/>
  <c r="J22" i="17" s="1"/>
  <c r="G20" i="17"/>
  <c r="F20" i="17"/>
  <c r="J20" i="17" s="1"/>
  <c r="F18" i="17"/>
  <c r="J18" i="17" s="1"/>
  <c r="G16" i="17"/>
  <c r="F16" i="17"/>
  <c r="J16" i="17" s="1"/>
  <c r="F11" i="17"/>
  <c r="J19" i="8" s="1"/>
  <c r="F9" i="17"/>
  <c r="F8" i="17"/>
  <c r="J5" i="17"/>
  <c r="L19" i="8" s="1"/>
  <c r="J13" i="17" l="1"/>
  <c r="M19" i="8" s="1"/>
  <c r="K19" i="8" s="1"/>
  <c r="J12" i="17" l="1"/>
  <c r="J49" i="17" s="1"/>
  <c r="G52" i="17"/>
  <c r="J52" i="17" s="1"/>
  <c r="J50" i="17" s="1"/>
  <c r="K53" i="17" l="1"/>
  <c r="Q19" i="8"/>
  <c r="I28" i="8" l="1"/>
  <c r="H28" i="8"/>
  <c r="G28" i="8"/>
  <c r="Q27" i="8"/>
  <c r="O27" i="8"/>
  <c r="M27" i="8"/>
  <c r="F27" i="8"/>
  <c r="E27" i="8"/>
  <c r="C27" i="8"/>
  <c r="B27" i="8"/>
  <c r="Q26" i="8"/>
  <c r="O26" i="8"/>
  <c r="M26" i="8"/>
  <c r="F26" i="8"/>
  <c r="E26" i="8"/>
  <c r="C26" i="8"/>
  <c r="B26" i="8"/>
  <c r="Q25" i="8"/>
  <c r="O25" i="8"/>
  <c r="M25" i="8"/>
  <c r="L25" i="8"/>
  <c r="F25" i="8"/>
  <c r="E25" i="8"/>
  <c r="C25" i="8"/>
  <c r="B25" i="8"/>
  <c r="Q24" i="8"/>
  <c r="O24" i="8"/>
  <c r="M24" i="8"/>
  <c r="J24" i="8"/>
  <c r="F24" i="8"/>
  <c r="E24" i="8"/>
  <c r="C24" i="8"/>
  <c r="B24" i="8"/>
  <c r="P23" i="8"/>
  <c r="O23" i="8"/>
  <c r="F23" i="8"/>
  <c r="E23" i="8"/>
  <c r="C23" i="8"/>
  <c r="B23" i="8"/>
  <c r="Q22" i="8"/>
  <c r="P22" i="8"/>
  <c r="O22" i="8"/>
  <c r="N22" i="8"/>
  <c r="M22" i="8"/>
  <c r="F22" i="8"/>
  <c r="E22" i="8"/>
  <c r="C22" i="8"/>
  <c r="B22" i="8"/>
  <c r="O21" i="8"/>
  <c r="N21" i="8"/>
  <c r="M21" i="8"/>
  <c r="F21" i="8"/>
  <c r="E21" i="8"/>
  <c r="C21" i="8"/>
  <c r="B21" i="8"/>
  <c r="O20" i="8"/>
  <c r="F20" i="8"/>
  <c r="E20" i="8"/>
  <c r="C20" i="8"/>
  <c r="B20" i="8"/>
  <c r="J17" i="25"/>
  <c r="P20" i="8" s="1"/>
  <c r="J12" i="25"/>
  <c r="F9" i="25"/>
  <c r="F11" i="25" s="1"/>
  <c r="J20" i="8" s="1"/>
  <c r="J5" i="25"/>
  <c r="L20" i="8" s="1"/>
  <c r="K20" i="8" s="1"/>
  <c r="Q18" i="8"/>
  <c r="O18" i="8"/>
  <c r="J18" i="8"/>
  <c r="F18" i="8"/>
  <c r="E18" i="8"/>
  <c r="C18" i="8"/>
  <c r="B18" i="8"/>
  <c r="J19" i="24"/>
  <c r="P27" i="8" s="1"/>
  <c r="J17" i="24"/>
  <c r="J15" i="24"/>
  <c r="J12" i="24" s="1"/>
  <c r="F9" i="24"/>
  <c r="F11" i="24" s="1"/>
  <c r="J27" i="8" s="1"/>
  <c r="J5" i="24"/>
  <c r="L27" i="8" s="1"/>
  <c r="J20" i="23"/>
  <c r="P26" i="8" s="1"/>
  <c r="J18" i="23"/>
  <c r="J17" i="23"/>
  <c r="J15" i="23" s="1"/>
  <c r="J12" i="23" s="1"/>
  <c r="F9" i="23"/>
  <c r="F11" i="23" s="1"/>
  <c r="J26" i="8" s="1"/>
  <c r="J5" i="23"/>
  <c r="J24" i="23" s="1"/>
  <c r="K26" i="23" s="1"/>
  <c r="J20" i="22"/>
  <c r="P25" i="8" s="1"/>
  <c r="J18" i="22"/>
  <c r="J17" i="22"/>
  <c r="J15" i="22" s="1"/>
  <c r="J12" i="22" s="1"/>
  <c r="F9" i="22"/>
  <c r="F11" i="22" s="1"/>
  <c r="J25" i="8" s="1"/>
  <c r="J5" i="22"/>
  <c r="J20" i="21"/>
  <c r="P24" i="8" s="1"/>
  <c r="J18" i="21"/>
  <c r="J17" i="21"/>
  <c r="J15" i="21" s="1"/>
  <c r="J12" i="21" s="1"/>
  <c r="F9" i="21"/>
  <c r="F11" i="21" s="1"/>
  <c r="J5" i="21"/>
  <c r="J24" i="21" s="1"/>
  <c r="K26" i="21" s="1"/>
  <c r="J30" i="20"/>
  <c r="J28" i="20"/>
  <c r="J26" i="20" s="1"/>
  <c r="N23" i="8" s="1"/>
  <c r="G23" i="20"/>
  <c r="J23" i="20" s="1"/>
  <c r="G21" i="20"/>
  <c r="J21" i="20" s="1"/>
  <c r="G19" i="20"/>
  <c r="J19" i="20" s="1"/>
  <c r="J17" i="20"/>
  <c r="G15" i="20"/>
  <c r="J15" i="20" s="1"/>
  <c r="F9" i="20"/>
  <c r="F11" i="20" s="1"/>
  <c r="J23" i="8" s="1"/>
  <c r="J5" i="20"/>
  <c r="L23" i="8" s="1"/>
  <c r="J17" i="19"/>
  <c r="J12" i="19"/>
  <c r="J22" i="8"/>
  <c r="J5" i="19"/>
  <c r="J21" i="19" s="1"/>
  <c r="J17" i="18"/>
  <c r="P21" i="8" s="1"/>
  <c r="J12" i="18"/>
  <c r="F9" i="18"/>
  <c r="F11" i="18" s="1"/>
  <c r="J21" i="8" s="1"/>
  <c r="J5" i="18"/>
  <c r="N25" i="8" l="1"/>
  <c r="N26" i="8"/>
  <c r="N24" i="8"/>
  <c r="L26" i="8"/>
  <c r="K26" i="8" s="1"/>
  <c r="L24" i="8"/>
  <c r="K24" i="8" s="1"/>
  <c r="J21" i="18"/>
  <c r="N27" i="8"/>
  <c r="K27" i="8" s="1"/>
  <c r="K25" i="8"/>
  <c r="J24" i="22"/>
  <c r="K26" i="22" s="1"/>
  <c r="J13" i="20"/>
  <c r="J12" i="20" s="1"/>
  <c r="J34" i="20" s="1"/>
  <c r="G37" i="20" s="1"/>
  <c r="J37" i="20" s="1"/>
  <c r="J35" i="20" s="1"/>
  <c r="M23" i="8"/>
  <c r="K23" i="8" s="1"/>
  <c r="L22" i="8"/>
  <c r="Q21" i="8"/>
  <c r="L21" i="8"/>
  <c r="K22" i="8"/>
  <c r="K21" i="8"/>
  <c r="J20" i="25"/>
  <c r="G23" i="25" s="1"/>
  <c r="J23" i="25" s="1"/>
  <c r="J21" i="25" s="1"/>
  <c r="J23" i="24"/>
  <c r="K25" i="24" s="1"/>
  <c r="K25" i="19"/>
  <c r="G24" i="19"/>
  <c r="J24" i="19" s="1"/>
  <c r="K24" i="18"/>
  <c r="K24" i="25" l="1"/>
  <c r="Q20" i="8"/>
  <c r="K38" i="20"/>
  <c r="Q23" i="8"/>
  <c r="J37" i="16"/>
  <c r="J36" i="16"/>
  <c r="J30" i="16"/>
  <c r="J41" i="16"/>
  <c r="P18" i="8" s="1"/>
  <c r="J15" i="16"/>
  <c r="G14" i="15" l="1"/>
  <c r="J14" i="15" s="1"/>
  <c r="F10" i="16" l="1"/>
  <c r="J39" i="16"/>
  <c r="J38" i="16"/>
  <c r="J35" i="16"/>
  <c r="J34" i="16"/>
  <c r="J33" i="16"/>
  <c r="J32" i="16"/>
  <c r="J31" i="16"/>
  <c r="J29" i="16"/>
  <c r="J28" i="16"/>
  <c r="J27" i="16"/>
  <c r="J26" i="16"/>
  <c r="J22" i="16" s="1"/>
  <c r="N18" i="8" s="1"/>
  <c r="F19" i="16"/>
  <c r="J19" i="16" s="1"/>
  <c r="J12" i="16" s="1"/>
  <c r="J5" i="16"/>
  <c r="L18" i="8" s="1"/>
  <c r="F8" i="16"/>
  <c r="M18" i="8" l="1"/>
  <c r="K18" i="8" s="1"/>
  <c r="J11" i="16"/>
  <c r="J44" i="16" s="1"/>
  <c r="K47" i="16" s="1"/>
  <c r="O17" i="8" l="1"/>
  <c r="E17" i="8"/>
  <c r="C17" i="8"/>
  <c r="B17" i="8"/>
  <c r="J38" i="15"/>
  <c r="J39" i="15"/>
  <c r="J46" i="15"/>
  <c r="J47" i="15"/>
  <c r="J48" i="15"/>
  <c r="J49" i="15" l="1"/>
  <c r="J50" i="15"/>
  <c r="F31" i="15" l="1"/>
  <c r="F25" i="15"/>
  <c r="G23" i="15"/>
  <c r="F21" i="15"/>
  <c r="F19" i="15"/>
  <c r="F17" i="15"/>
  <c r="J45" i="15" l="1"/>
  <c r="J44" i="15"/>
  <c r="J43" i="15"/>
  <c r="J42" i="15"/>
  <c r="J41" i="15"/>
  <c r="J40" i="15"/>
  <c r="J36" i="15" s="1"/>
  <c r="N17" i="8" s="1"/>
  <c r="J33" i="15"/>
  <c r="J31" i="15"/>
  <c r="J29" i="15"/>
  <c r="J27" i="15"/>
  <c r="J25" i="15"/>
  <c r="J23" i="15"/>
  <c r="J21" i="15"/>
  <c r="J19" i="15"/>
  <c r="J17" i="15"/>
  <c r="F8" i="15"/>
  <c r="F7" i="15"/>
  <c r="F10" i="15" l="1"/>
  <c r="F17" i="8"/>
  <c r="J17" i="8"/>
  <c r="J12" i="15"/>
  <c r="J52" i="15"/>
  <c r="P17" i="8" s="1"/>
  <c r="J5" i="15"/>
  <c r="L17" i="8" s="1"/>
  <c r="J11" i="15" l="1"/>
  <c r="M17" i="8"/>
  <c r="J55" i="15"/>
  <c r="G58" i="15" l="1"/>
  <c r="J58" i="15" s="1"/>
  <c r="J56" i="15" s="1"/>
  <c r="K59" i="15" l="1"/>
  <c r="Q17" i="8"/>
  <c r="O16" i="8"/>
  <c r="F16" i="8"/>
  <c r="E16" i="8"/>
  <c r="C16" i="8"/>
  <c r="B16" i="8"/>
  <c r="J39" i="14"/>
  <c r="P16" i="8" s="1"/>
  <c r="J37" i="14"/>
  <c r="J36" i="14"/>
  <c r="G25" i="14" l="1"/>
  <c r="F21" i="14"/>
  <c r="J21" i="14" s="1"/>
  <c r="G19" i="14"/>
  <c r="F19" i="14"/>
  <c r="G15" i="14"/>
  <c r="F11" i="14"/>
  <c r="J16" i="8" s="1"/>
  <c r="J34" i="14"/>
  <c r="N16" i="8" s="1"/>
  <c r="J31" i="14"/>
  <c r="F29" i="14"/>
  <c r="J29" i="14" s="1"/>
  <c r="F27" i="14"/>
  <c r="J27" i="14" s="1"/>
  <c r="F25" i="14"/>
  <c r="F23" i="14"/>
  <c r="J23" i="14" s="1"/>
  <c r="F17" i="14"/>
  <c r="J17" i="14" s="1"/>
  <c r="F15" i="14"/>
  <c r="F8" i="14"/>
  <c r="J15" i="14" l="1"/>
  <c r="J25" i="14"/>
  <c r="J19" i="14"/>
  <c r="J5" i="14"/>
  <c r="L16" i="8" s="1"/>
  <c r="O15" i="8"/>
  <c r="L15" i="8"/>
  <c r="E15" i="8"/>
  <c r="F15" i="8"/>
  <c r="C15" i="8"/>
  <c r="B15" i="8"/>
  <c r="F11" i="13"/>
  <c r="J15" i="8" s="1"/>
  <c r="J48" i="13"/>
  <c r="P15" i="8" s="1"/>
  <c r="J46" i="13"/>
  <c r="J45" i="13"/>
  <c r="J44" i="13"/>
  <c r="J43" i="13"/>
  <c r="J42" i="13"/>
  <c r="J41" i="13"/>
  <c r="J40" i="13"/>
  <c r="J39" i="13"/>
  <c r="J38" i="13"/>
  <c r="J37" i="13"/>
  <c r="J36" i="13"/>
  <c r="J35" i="13"/>
  <c r="J34" i="13"/>
  <c r="J33" i="13"/>
  <c r="J32" i="13"/>
  <c r="J31" i="13"/>
  <c r="J26" i="13"/>
  <c r="J24" i="13"/>
  <c r="F22" i="13"/>
  <c r="J22" i="13" s="1"/>
  <c r="F20" i="13"/>
  <c r="J20" i="13" s="1"/>
  <c r="G18" i="13"/>
  <c r="J18" i="13" s="1"/>
  <c r="G16" i="13"/>
  <c r="J16" i="13" s="1"/>
  <c r="J29" i="13" l="1"/>
  <c r="N15" i="8" s="1"/>
  <c r="J13" i="14"/>
  <c r="M16" i="8" s="1"/>
  <c r="J13" i="13"/>
  <c r="J12" i="14"/>
  <c r="J42" i="14" s="1"/>
  <c r="J12" i="13" l="1"/>
  <c r="J51" i="13" s="1"/>
  <c r="G54" i="13" s="1"/>
  <c r="J54" i="13" s="1"/>
  <c r="J52" i="13" s="1"/>
  <c r="M15" i="8"/>
  <c r="G45" i="14"/>
  <c r="J45" i="14" s="1"/>
  <c r="J43" i="14" s="1"/>
  <c r="K45" i="14" l="1"/>
  <c r="Q16" i="8"/>
  <c r="K55" i="13"/>
  <c r="Q15" i="8"/>
  <c r="O14" i="8"/>
  <c r="L14" i="8"/>
  <c r="F14" i="8"/>
  <c r="E14" i="8"/>
  <c r="C14" i="8"/>
  <c r="B14" i="8"/>
  <c r="F11" i="12" l="1"/>
  <c r="J14" i="8" s="1"/>
  <c r="J25" i="12"/>
  <c r="J24" i="12"/>
  <c r="J23" i="12"/>
  <c r="J22" i="12"/>
  <c r="G17" i="12"/>
  <c r="J17" i="12" s="1"/>
  <c r="F15" i="12"/>
  <c r="J15" i="12" s="1"/>
  <c r="J20" i="12" l="1"/>
  <c r="N14" i="8" s="1"/>
  <c r="J13" i="12"/>
  <c r="M14" i="8" s="1"/>
  <c r="J27" i="12"/>
  <c r="P14" i="8" s="1"/>
  <c r="C13" i="8"/>
  <c r="C11" i="8"/>
  <c r="J12" i="12" l="1"/>
  <c r="J40" i="9"/>
  <c r="J30" i="12" l="1"/>
  <c r="G33" i="12" s="1"/>
  <c r="J33" i="12" s="1"/>
  <c r="J31" i="12" s="1"/>
  <c r="O13" i="8"/>
  <c r="L13" i="8"/>
  <c r="F13" i="8"/>
  <c r="E13" i="8"/>
  <c r="B13" i="8"/>
  <c r="J28" i="11"/>
  <c r="P13" i="8" s="1"/>
  <c r="J26" i="11"/>
  <c r="J24" i="11" s="1"/>
  <c r="N13" i="8" s="1"/>
  <c r="F19" i="11"/>
  <c r="J19" i="11" s="1"/>
  <c r="G17" i="11"/>
  <c r="J17" i="11" s="1"/>
  <c r="G15" i="11"/>
  <c r="J15" i="11" s="1"/>
  <c r="J13" i="11" s="1"/>
  <c r="F9" i="11"/>
  <c r="F11" i="11" s="1"/>
  <c r="J13" i="8" s="1"/>
  <c r="F8" i="11"/>
  <c r="K34" i="12" l="1"/>
  <c r="Q14" i="8"/>
  <c r="J21" i="11"/>
  <c r="J12" i="11" s="1"/>
  <c r="J31" i="11" s="1"/>
  <c r="G34" i="11" s="1"/>
  <c r="J34" i="11" s="1"/>
  <c r="J32" i="11" s="1"/>
  <c r="M13" i="8" l="1"/>
  <c r="K35" i="11"/>
  <c r="Q13" i="8"/>
  <c r="O12" i="8"/>
  <c r="L12" i="8"/>
  <c r="E12" i="8"/>
  <c r="C12" i="8"/>
  <c r="B12" i="8"/>
  <c r="J32" i="10"/>
  <c r="P12" i="8" s="1"/>
  <c r="J30" i="10"/>
  <c r="J28" i="10" s="1"/>
  <c r="N12" i="8" s="1"/>
  <c r="J23" i="10"/>
  <c r="G21" i="10"/>
  <c r="F21" i="10"/>
  <c r="F19" i="10"/>
  <c r="F17" i="10"/>
  <c r="J17" i="10" s="1"/>
  <c r="G15" i="10"/>
  <c r="F15" i="10"/>
  <c r="F7" i="10"/>
  <c r="F12" i="8" s="1"/>
  <c r="F11" i="10" l="1"/>
  <c r="J12" i="8" s="1"/>
  <c r="J15" i="10"/>
  <c r="J19" i="10"/>
  <c r="J21" i="10"/>
  <c r="J13" i="10" l="1"/>
  <c r="M12" i="8" l="1"/>
  <c r="J12" i="10"/>
  <c r="J35" i="10" s="1"/>
  <c r="G38" i="10" s="1"/>
  <c r="J38" i="10" s="1"/>
  <c r="J36" i="10" s="1"/>
  <c r="Q12" i="8" s="1"/>
  <c r="O11" i="8"/>
  <c r="L11" i="8"/>
  <c r="J11" i="8"/>
  <c r="F11" i="8"/>
  <c r="E11" i="8"/>
  <c r="B11" i="8"/>
  <c r="P11" i="8"/>
  <c r="J38" i="9"/>
  <c r="J37" i="9"/>
  <c r="J36" i="9"/>
  <c r="J35" i="9"/>
  <c r="J34" i="9"/>
  <c r="J33" i="9"/>
  <c r="J32" i="9"/>
  <c r="J31" i="9"/>
  <c r="J30" i="9"/>
  <c r="J29" i="9"/>
  <c r="J22" i="9"/>
  <c r="F20" i="9"/>
  <c r="J20" i="9" s="1"/>
  <c r="G18" i="9"/>
  <c r="F18" i="9"/>
  <c r="J18" i="9" s="1"/>
  <c r="G16" i="9"/>
  <c r="F16" i="9"/>
  <c r="F11" i="9"/>
  <c r="J27" i="9" l="1"/>
  <c r="N11" i="8" s="1"/>
  <c r="J16" i="9"/>
  <c r="J13" i="9" s="1"/>
  <c r="K39" i="10"/>
  <c r="J12" i="9" l="1"/>
  <c r="M11" i="8"/>
  <c r="O10" i="8"/>
  <c r="L10" i="8"/>
  <c r="E10" i="8"/>
  <c r="C10" i="8"/>
  <c r="B10" i="8"/>
  <c r="O9" i="8"/>
  <c r="L9" i="8"/>
  <c r="L28" i="8" s="1"/>
  <c r="E9" i="8"/>
  <c r="C9" i="8"/>
  <c r="B9" i="8"/>
  <c r="K17" i="8"/>
  <c r="K16" i="8"/>
  <c r="K15" i="8"/>
  <c r="K14" i="8"/>
  <c r="K13" i="8"/>
  <c r="K12" i="8"/>
  <c r="K11" i="8"/>
  <c r="J43" i="9" l="1"/>
  <c r="G46" i="9" s="1"/>
  <c r="J46" i="9" s="1"/>
  <c r="J44" i="9" s="1"/>
  <c r="E28" i="8"/>
  <c r="O28" i="8"/>
  <c r="Q11" i="8" l="1"/>
  <c r="K47" i="9"/>
  <c r="J34" i="2"/>
  <c r="P10" i="8" s="1"/>
  <c r="J32" i="2"/>
  <c r="J31" i="2"/>
  <c r="J30" i="2"/>
  <c r="J27" i="2"/>
  <c r="F25" i="2"/>
  <c r="J25" i="2" s="1"/>
  <c r="F17" i="2"/>
  <c r="J17" i="2" s="1"/>
  <c r="J23" i="2"/>
  <c r="J21" i="2"/>
  <c r="F19" i="2"/>
  <c r="J19" i="2" s="1"/>
  <c r="G15" i="2"/>
  <c r="F15" i="2"/>
  <c r="F7" i="2"/>
  <c r="J28" i="2" l="1"/>
  <c r="N10" i="8" s="1"/>
  <c r="F11" i="2"/>
  <c r="J10" i="8" s="1"/>
  <c r="F10" i="8"/>
  <c r="J15" i="2"/>
  <c r="J13" i="2" s="1"/>
  <c r="J12" i="2" l="1"/>
  <c r="J37" i="2" s="1"/>
  <c r="G40" i="2" s="1"/>
  <c r="J40" i="2" s="1"/>
  <c r="J38" i="2" s="1"/>
  <c r="M10" i="8"/>
  <c r="K10" i="8" s="1"/>
  <c r="J33" i="7"/>
  <c r="J34" i="7"/>
  <c r="J38" i="7"/>
  <c r="J35" i="7"/>
  <c r="J31" i="7"/>
  <c r="K41" i="2" l="1"/>
  <c r="Q10" i="8"/>
  <c r="G15" i="7"/>
  <c r="F7" i="7" l="1"/>
  <c r="F11" i="7" l="1"/>
  <c r="J9" i="8"/>
  <c r="J28" i="8" s="1"/>
  <c r="F9" i="8"/>
  <c r="F28" i="8" s="1"/>
  <c r="G20" i="7"/>
  <c r="F20" i="7"/>
  <c r="J20" i="7" s="1"/>
  <c r="F18" i="7"/>
  <c r="G18" i="7"/>
  <c r="J37" i="7"/>
  <c r="J36" i="7"/>
  <c r="J32" i="7"/>
  <c r="J29" i="7" s="1"/>
  <c r="N9" i="8" l="1"/>
  <c r="N28" i="8" s="1"/>
  <c r="J18" i="7"/>
  <c r="G26" i="7"/>
  <c r="F22" i="7" l="1"/>
  <c r="J22" i="7" s="1"/>
  <c r="F24" i="7" l="1"/>
  <c r="F15" i="7"/>
  <c r="J26" i="7" l="1"/>
  <c r="J40" i="7" l="1"/>
  <c r="P9" i="8" s="1"/>
  <c r="P28" i="8" s="1"/>
  <c r="J28" i="7" l="1"/>
  <c r="J24" i="7"/>
  <c r="J15" i="7"/>
  <c r="J13" i="7" l="1"/>
  <c r="M9" i="8" s="1"/>
  <c r="M28" i="8" s="1"/>
  <c r="J12" i="7" l="1"/>
  <c r="K9" i="8"/>
  <c r="K28" i="8" s="1"/>
  <c r="K31" i="8" s="1"/>
  <c r="K32" i="8" s="1"/>
  <c r="J43" i="7"/>
  <c r="G46" i="7" s="1"/>
  <c r="J46" i="7" s="1"/>
  <c r="J44" i="7" s="1"/>
  <c r="L60" i="8" l="1"/>
  <c r="L59" i="8"/>
  <c r="L61" i="8"/>
  <c r="K47" i="7"/>
  <c r="Q9" i="8"/>
  <c r="Q28" i="8" l="1"/>
  <c r="L33" i="8" s="1"/>
  <c r="K34" i="8" s="1"/>
</calcChain>
</file>

<file path=xl/sharedStrings.xml><?xml version="1.0" encoding="utf-8"?>
<sst xmlns="http://schemas.openxmlformats.org/spreadsheetml/2006/main" count="1533" uniqueCount="526">
  <si>
    <t xml:space="preserve"> II/ Kết quả bồi thường, hỗ trợ, tái định cư</t>
  </si>
  <si>
    <t>STT</t>
  </si>
  <si>
    <t>HỌ TÊN VÀ ĐỊA CHỈ
(Nơi ở và nơi giải tỏa</t>
  </si>
  <si>
    <t>GIẤY TỜ NGUỒN GỐC NHÀ ĐẤT</t>
  </si>
  <si>
    <t>NỘI DUNG BỒI THƯỜNG, HỖ TRỢ</t>
  </si>
  <si>
    <t>Đơn
vị tính</t>
  </si>
  <si>
    <t>Khối
lượng BT, HT</t>
  </si>
  <si>
    <t>Đơn giá
(đồng)</t>
  </si>
  <si>
    <t>Mức
BT
(%)</t>
  </si>
  <si>
    <t>Mức
 HT
(%)</t>
  </si>
  <si>
    <t>Thành tiền
(đồng)</t>
  </si>
  <si>
    <t>TỔNG TIỀN
(đồng)</t>
  </si>
  <si>
    <t>Ký nhận</t>
  </si>
  <si>
    <t>I/ Về đất</t>
  </si>
  <si>
    <t>m²</t>
  </si>
  <si>
    <t xml:space="preserve"> + DT đất còn lại</t>
  </si>
  <si>
    <t xml:space="preserve"> - Địa chỉ thường trú</t>
  </si>
  <si>
    <t>- Địa chỉ giải tỏa:</t>
  </si>
  <si>
    <t xml:space="preserve">Tổ dân phố Vĩnh Xuân, Phường Nam Nha Trang, tỉnh Khánh Hòa </t>
  </si>
  <si>
    <t>II/ Tài sản gắn liền với đất (1+2+3)</t>
  </si>
  <si>
    <t>1- Công trình, vật kiến trúc:</t>
  </si>
  <si>
    <t>m²XD</t>
  </si>
  <si>
    <r>
      <t xml:space="preserve">2 - Tài sản khác: </t>
    </r>
    <r>
      <rPr>
        <sz val="14"/>
        <rFont val="Times New Roman"/>
        <family val="1"/>
      </rPr>
      <t>Không</t>
    </r>
  </si>
  <si>
    <r>
      <t>3 - Cây trồng:</t>
    </r>
    <r>
      <rPr>
        <sz val="14"/>
        <rFont val="Times New Roman"/>
        <family val="1"/>
      </rPr>
      <t xml:space="preserve"> </t>
    </r>
  </si>
  <si>
    <t>cây</t>
  </si>
  <si>
    <r>
      <t xml:space="preserve">III. Hỗ trợ chi phí di chuyển tài sản: </t>
    </r>
    <r>
      <rPr>
        <sz val="14"/>
        <rFont val="Times New Roman"/>
        <family val="1"/>
      </rPr>
      <t>Không</t>
    </r>
  </si>
  <si>
    <t>* Tổng số tiền bồi thường, hỗ trợ</t>
  </si>
  <si>
    <t>V/ Hỗ trợ khen thưởng</t>
  </si>
  <si>
    <t xml:space="preserve"> - Khoản 2, Điều 15 QĐ số 32/2026/QĐ-UBND ngày 29/4/2026 của UBND tỉnh Khánh Hòa:</t>
  </si>
  <si>
    <t xml:space="preserve"> - Trường hợp thu hồi đất không thuộc các dự án quy định tại khoản 7 Điều 111 Luật Đất đai, bàn giao mặt bằng trước thời hạn quy định thì được khen thưởng 10% tổng giá trị bồi thường, hỗ trợ. Mức khen thưởng tối đa không vượt quá 8.000.000 (tám triệu) đồng /trường hợp; Trường hợp số tiền khen thưởng thấp hơn 1.000.000 (một triệu) đồng thì được khen thưởng là 1.000.000 (một triệu) đồng / trường hợp. </t>
  </si>
  <si>
    <t>TH</t>
  </si>
  <si>
    <t>* Tổng số tiền bồi thường, hỗ trợ, khen thưởng (I+II+III+IV+V)</t>
  </si>
  <si>
    <t xml:space="preserve">VI. Tái định cư: </t>
  </si>
  <si>
    <t xml:space="preserve">- Căn cứ Khoản 5 Điều 111 Luật Đất đai năm 2024, Điều 24 Nghị định số 88/NĐ-CP ngày 15/7/2024 của Chính phủ, Khoản 6 Điều 2 Nghị định số 226/2025/NĐ-CP ngày 15/8/2025 của Chính phủ </t>
  </si>
  <si>
    <t>Hộ gia đình không đủ điều kiện bố trí tái định cư do không được bồi thường đất ở và không phải di chuyển chỗ ở</t>
  </si>
  <si>
    <t xml:space="preserve"> </t>
  </si>
  <si>
    <r>
      <rPr>
        <b/>
        <i/>
        <sz val="14"/>
        <rFont val="Times New Roman"/>
        <family val="1"/>
      </rPr>
      <t>* Căn cứ pháp lý áp dụng:</t>
    </r>
    <r>
      <rPr>
        <i/>
        <sz val="14"/>
        <rFont val="Times New Roman"/>
        <family val="1"/>
      </rPr>
      <t xml:space="preserve">
- Quyết định số 35/2026/QĐ-UBND ngày 04/5/2026 của UBND tỉnh Khánh Hòa ban hành quy định đơn giá bồi thường thiệt hại đối với cây trồng, vật nuôi khi Nhà nước thu hồi đất trên địa bàn tỉnh Khánh Hòa;
- Văn bản số 9455/SNNMT-TTBVTV ngày 30/6/2026 của Sở Nông nghiệp và Môi trường V/v hướng dẫn áp dụng đơn giá bồi thường đối với cây trồng khi Nhà nước thu hồi đất theo QĐ số 35/2026/QĐ-UBND ngày 04/5/2026 của UBND tỉnh Khánh Hòa.</t>
    </r>
  </si>
  <si>
    <t xml:space="preserve">IV/ Chính sách hỗ trợ (1+2): </t>
  </si>
  <si>
    <t xml:space="preserve">m dài </t>
  </si>
  <si>
    <t>CCCD số 066099015815  do Bộ Công An cấp ngày 06/10/2025  cho ông NguyễN Trọng Phước Niê</t>
  </si>
  <si>
    <t>Buôn Tliêr, Cư Pui, Đắk Lắk</t>
  </si>
  <si>
    <t>- Mái che cột kèo sắt, mái lợp tôn nền xi măng
DT: (1,6m x 2,5m) + ( 6,2m x 4,2m ) = 30,04 m²</t>
  </si>
  <si>
    <t xml:space="preserve">Hàng rào lưới B40  trụ BTCT cao 1,5m không móng dài 10,8 m </t>
  </si>
  <si>
    <t xml:space="preserve">- Chuối loại B </t>
  </si>
  <si>
    <t>- Trúc loại C</t>
  </si>
  <si>
    <t>Áp đơn giá tại phụ lục STT C.17, Quyết định số 08/2026/QĐ-UBND ngày 22/01/2026 của UBND tỉnh Khánh Hòa, đơn giá: 230.583 đ/m².</t>
  </si>
  <si>
    <t>Áp đơn giá tại phụ lục STT C.04, Quyết định số 08/2026/QĐ-UBND ngày 22/01/2026 của UBND tỉnh Khánh Hòa, đơn giá: 1.259.097 đ/m².</t>
  </si>
  <si>
    <t>Áp giá tại phần C, STT 11, Quyết định số 08/2026/QĐ-UBND ngày 22/01/2026 của UBND tỉnh Khánh Hòa, đơn giá: 537.955 đ/md. Đơn giá giảm 8.5% vì không móng (theo Mục I, STT 12 văn bản số 2093/SXD-KTVLXD ngày 05/3/2026 của Sở Xây dựng)
537.955 đ/md - (537.955 đ/md x 8.5%) = 492.229 đ/md</t>
  </si>
  <si>
    <t>Hộ ông Nguyễn Trọng Phước Niê</t>
  </si>
  <si>
    <t xml:space="preserve">- Chuối loại A </t>
  </si>
  <si>
    <t>+ DT đất thu hồi:</t>
  </si>
  <si>
    <r>
      <t xml:space="preserve">* Căn cứ pháp lý áp dụng:
- Biên bản kiểm kê khối lượng giải tỏa: </t>
    </r>
    <r>
      <rPr>
        <sz val="14"/>
        <rFont val="Times New Roman"/>
        <family val="1"/>
      </rPr>
      <t>ngày 24/6/2026.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Quyết định số 32/2026/QĐ-UBND ngày 29/4/2026 của UBND tỉnh Khánh Hòa Quy định một số biện pháp hỗ trợ khác khi Nhà nước thu hồi đất trên địa bàn tỉnh Khánh Hòa.</t>
    </r>
  </si>
  <si>
    <r>
      <t xml:space="preserve">Áp đơn giá tại phụ lục STT A1, Quyết định số 08/2026/QĐ-UBND ngày 22/01/2026 của UBND tỉnh Khánh Hòa. Đơn giá: 3.751.000 đ/m². Đơn giá điều chỉnh với hệ số 1,12  vì tường sơn nước (theo Mục I, STT 2 văn bản số 2093/SXD-KTVLXD ngày 05/3/2026 của Sở Xây dựng). Cộng  thêm 481.600đ/m² vì nền gạch men (STT 37 mục A, Phụ lục I, Quyết định số 12/QĐ-UBND ngày 24/02/2026 (Áp theo Mục I, STT 03 văn bản số 2093/SXD-KTVLXD ngày 05/3/2026 của Sở Xây dựng). Tăng 8,5% vì 3 lớp đá chẻ và cửa kính , tăng 8,5% vì có hệ sinh (theo Mục I, STT 12 văn bản số 2093/SXD-KTVLXD ngày 05/3/2026 của Sở Xây dựng).
</t>
    </r>
    <r>
      <rPr>
        <sz val="14"/>
        <rFont val="Times New Roman"/>
        <family val="1"/>
      </rPr>
      <t xml:space="preserve"> 3.751.000 đ/m²  x 1,12 + 481.600đ/m² +(3.751.000 đ/m² x 15%)  = 5.245.370đ/m²</t>
    </r>
  </si>
  <si>
    <r>
      <t xml:space="preserve">Áp đơn giá tại phụ lục STT A1, Quyết định số 08/2026/QĐ-UBND ngày 22/01/2026 của UBND tỉnh Khánh Hòa. Đơn giá: 3.751.000 đ/m². Đơn giá điều chỉnh với hệ số 1,12  vì tường sơn nước (theo Mục I, STT 2 văn bản số 2093/SXD-KTVLXD ngày 05/3/2026 của Sở Xây dựng). Cộng  thêm 481.600đ/m² vì nền gạch men (STT 37 mục A, Phụ lục I, Quyết định số 12/QĐ-UBND ngày 24/02/2026 (Áp theo Mục I, STT 03 văn bản số 2093/SXD-KTVLXD ngày 05/3/2026 của Sở Xây dựng). Tăng 8,5% vì có nhà vệ sinh , tăng 8,5% vì có trần nhựa, cửa nhôm kính, 4 lớp đá chẻ (theo Mục I, STT 12 văn bản số 2093/SXD-KTVLXD ngày 05/3/2026 của Sở Xây dựng).
</t>
    </r>
    <r>
      <rPr>
        <sz val="14"/>
        <rFont val="Times New Roman"/>
        <family val="1"/>
      </rPr>
      <t xml:space="preserve"> 3.751.000 đ/m²  x 1,12 + 481.600đ/m² +(3.751.000 đ/m² x 15%)  = 5.245.370đ/m²</t>
    </r>
  </si>
  <si>
    <r>
      <t xml:space="preserve">- Mai chấn thủy  </t>
    </r>
    <r>
      <rPr>
        <i/>
        <sz val="14"/>
        <rFont val="Times New Roman"/>
        <family val="1"/>
      </rPr>
      <t>-  Áp giá tương đương cây dâu tằm STT II.13. ĐG: 168.000đồng</t>
    </r>
  </si>
  <si>
    <r>
      <t xml:space="preserve">- Mai loại C </t>
    </r>
    <r>
      <rPr>
        <i/>
        <sz val="14"/>
        <rFont val="Times New Roman"/>
        <family val="1"/>
      </rPr>
      <t xml:space="preserve">  -  Áp giá tương đương cây dâu tằm STT II.13. ĐG: 112.000đồng</t>
    </r>
  </si>
  <si>
    <r>
      <t>- Đu đủ loại 4 năm</t>
    </r>
    <r>
      <rPr>
        <i/>
        <sz val="14"/>
        <rFont val="Times New Roman"/>
        <family val="1"/>
      </rPr>
      <t xml:space="preserve"> -  Áp giá tương đương cây Đu đủ loại C STT II.15. ĐG: 85.000 đồng</t>
    </r>
  </si>
  <si>
    <r>
      <t xml:space="preserve">- Phát tài loại C  </t>
    </r>
    <r>
      <rPr>
        <i/>
        <sz val="14"/>
        <rFont val="Times New Roman"/>
        <family val="1"/>
      </rPr>
      <t xml:space="preserve">- Áp giá tương đương cây Chùm ngây PLII - STT 10, ĐG: 113.000đ/m² </t>
    </r>
  </si>
  <si>
    <r>
      <t>- Bồ đề loại A</t>
    </r>
    <r>
      <rPr>
        <i/>
        <sz val="14"/>
        <rFont val="Times New Roman"/>
        <family val="1"/>
      </rPr>
      <t xml:space="preserve"> - Áp giá tương đương cây Bồ quân PLII - STT 3, ĐG: 228.000đ/m² </t>
    </r>
  </si>
  <si>
    <r>
      <t xml:space="preserve"> -</t>
    </r>
    <r>
      <rPr>
        <b/>
        <sz val="14"/>
        <rFont val="Times New Roman"/>
        <family val="1"/>
      </rPr>
      <t xml:space="preserve"> Diện tích đất không bồi thường</t>
    </r>
    <r>
      <rPr>
        <sz val="14"/>
        <rFont val="Times New Roman"/>
        <family val="1"/>
      </rPr>
      <t>:</t>
    </r>
  </si>
  <si>
    <t>Hộ bà Nguyễn Ngọc Như Ý</t>
  </si>
  <si>
    <t xml:space="preserve">CCCD số 056193006822  do Cục CS QLHC về TTXH  cấp ngày 12/8/2021  cho bà Nguyễn Ngọc Như Ý </t>
  </si>
  <si>
    <t xml:space="preserve"> - Diện tích (thửa số 117 - tờ BĐ số 10-353599-1)</t>
  </si>
  <si>
    <t xml:space="preserve"> + DT đất thu hồi:</t>
  </si>
  <si>
    <t>16 Hương Điền, Nam Nha Trang</t>
  </si>
  <si>
    <t>Áp đơn giá tại STT A5, PL1, Quyết định số 08/2026/QĐ-UBND ngày 22/01/2026 của UBND tỉnh Khánh Hòa. Đơn giá: 4.641.401đ/m². Đơn giá điều chỉnh với hệ số 1,12 vì tường sơn nước  (theo Mục I, STT 2 văn bản số 2093/SXD-KTVLXD ngày 05/3/2026 của Sở Xây dựng), tăng 8,5% vì móng xây 5 lớp đá chẻ, tăng 8,5% vì trần thạch cao, giảm 8,5% vì tường vệ sinh ốp men cao 1,2m và ko ốp men mặt tiền (theo Mục I, STT 12 văn bản số 2093/SXD-KTVLXD ngày 05/3/2026 của Sở Xây dựng). 
(4.311.253đ/m²XD x 1,12) + (4.311.253đ/m² x 8,5%) = 5.195.060 đ/m²XD.</t>
  </si>
  <si>
    <t>- Mái che cột kèo sắt, mái lợp tôn nền xi măng
DT: (6,9m x 3,5m) + ( 7,6m x 1,3m ) = 34,03 m²</t>
  </si>
  <si>
    <t xml:space="preserve">- Cổng trụ gạch, cánh thép hình cao 1,6m; dài 2,4m </t>
  </si>
  <si>
    <t>Áp giá tại phần C, STT 13, Quyết định số 08/2026/QĐ-UBND ngày 22/01/2026 của UBND tỉnh Khánh Hòa, đơn giá: 3.855.960đ/m.</t>
  </si>
  <si>
    <t xml:space="preserve">Hàng rào lưới B40  trụ sắt cao 1,5m móng xây 2 lớp đá chẻ dài 19,2 m </t>
  </si>
  <si>
    <t>Áp giá tại phần C, STT 11, Quyết định số 08/2026/QĐ-UBND ngày 22/01/2026 của UBND tỉnh Khánh Hòa, đơn giá: 537.955 đ/md.</t>
  </si>
  <si>
    <t>Ốp men cấu kiện: ( 0,95m x 4,1m) + (5,1m x 0,8m) + (5,1m x 1,8m) = 17,16 m²</t>
  </si>
  <si>
    <t>Áp đơn giá tại phụ lục I, STT A33 Quyết định số 12/2026/QĐ-UBND ngày 24/02/2026 của UBND tỉnh Khánh Hòa, đơn giá: 401.056đ/m²</t>
  </si>
  <si>
    <t>Tường xây gạch dày 100 cao 0,8 m; dày 0,6m
DT: 0,6m x 0,8m x 3 = 1,44 m²</t>
  </si>
  <si>
    <t>Áp đơn giá tại phụ lục I, STT A9 Quyết định số 12/2026/QĐ-UBND ngày 24/02/2026 của UBND tỉnh Khánh Hòa, đơn giá: 195.077đ/m²</t>
  </si>
  <si>
    <t>UBND TỈNH KHÁNH HÒA</t>
  </si>
  <si>
    <t>CỘNG HÒA XÃ HỘI CHỦ NGHĨA VIỆT NAM</t>
  </si>
  <si>
    <t>TRUNG TÂM PHÁT TRIỂN QUỸ ĐẤT</t>
  </si>
  <si>
    <t>Độc lập - Tự do - Hạnh phúc</t>
  </si>
  <si>
    <t xml:space="preserve">BẢNG TỔNG HỢP KINH PHÍ DỰ KIẾN BỒI THƯỜNG, HỖ TRỢ
Dự án thành phần 1: Bồi thường, hỗ trợ, tái định cư, giải phóng mặt bằng phục vụ dự án Dự án Xây dựng Bệnh viện đa khoa tỉnh Khánh Hòa trở thành Bệnh viện khu vực Duyên hải Nam Trung Bộ.
</t>
  </si>
  <si>
    <t>Họ và tên</t>
  </si>
  <si>
    <t>Địa chỉ thửa đất thu hồi đất</t>
  </si>
  <si>
    <t>Thửa trích đo/ BĐ Trích đo</t>
  </si>
  <si>
    <t>Tổng diện tích</t>
  </si>
  <si>
    <t>Diện tích thu hồi (m²)</t>
  </si>
  <si>
    <t>Số tiền bồi thường, hỗ trợ (đồng)</t>
  </si>
  <si>
    <t>Khen thưởng</t>
  </si>
  <si>
    <t>Diện tích thu hồi</t>
  </si>
  <si>
    <t>Đất ở</t>
  </si>
  <si>
    <t>Đất phi nông nghiệp</t>
  </si>
  <si>
    <t>Đất nông nghiệp</t>
  </si>
  <si>
    <t>Đất khác</t>
  </si>
  <si>
    <t>Tổng số tiền bồi thường, hỗ trợ</t>
  </si>
  <si>
    <t>Bồi thường, hỗ trợ về đất</t>
  </si>
  <si>
    <t>Bồi thường, hỗ trợ về tài sản &amp; tài sản khác</t>
  </si>
  <si>
    <t>Bồi thường, hỗ trợ về cây trồng</t>
  </si>
  <si>
    <t xml:space="preserve">Bồi thường /Hỗ trợ chi phí di chuyển tài sản </t>
  </si>
  <si>
    <t>Hỗ trợ khác</t>
  </si>
  <si>
    <t>12=13+14+15+16+17</t>
  </si>
  <si>
    <t xml:space="preserve">Tổng </t>
  </si>
  <si>
    <t>1/ Số trường hợp bị giải tỏa:</t>
  </si>
  <si>
    <t>2/ Kinh phí bồi thường, hỗ trợ:</t>
  </si>
  <si>
    <t>3/ Kinh phí tổ chức thực hiện (3% Tổng kinh phí bồi thường, hỗ trợ):</t>
  </si>
  <si>
    <t>4/ Kinh phí khen thưởng:</t>
  </si>
  <si>
    <t>5/ Tổng kinh phí bồi thường, hỗ trợ, khen thưởng và kinh phí tổ chức thực hiện:</t>
  </si>
  <si>
    <t>Bằng chữ:</t>
  </si>
  <si>
    <t>TRUNG TÂM PHÁT TRIỂN QUỸ ĐẤT KHÁNH HÒA</t>
  </si>
  <si>
    <t>Người lập phương án</t>
  </si>
  <si>
    <t>Người soát</t>
  </si>
  <si>
    <t>Trưởng phòng</t>
  </si>
  <si>
    <t xml:space="preserve"> PHÓ GIÁM ĐỐC PHỤ TRÁCH</t>
  </si>
  <si>
    <t>Đào Thị Phương Lam</t>
  </si>
  <si>
    <t>Hà Văn Hùng</t>
  </si>
  <si>
    <t>Nguyễn Văn Thành</t>
  </si>
  <si>
    <t xml:space="preserve"> - Diện tích (thửa số 116 - tờ BĐ số 10-353599-1)</t>
  </si>
  <si>
    <t>116/10-353599-1</t>
  </si>
  <si>
    <t>117/10-353599-1</t>
  </si>
  <si>
    <t>Hộ bà Nguyễn Thị Hà</t>
  </si>
  <si>
    <t>CCCD số 056170005392 do Cục QLHC về TTXH cấp ngày 12/08/2021 cho bà Nguyễn Thị Hà</t>
  </si>
  <si>
    <t xml:space="preserve"> - Diện tích (thửa số 118 - tờ BĐ số 10-353599-1)</t>
  </si>
  <si>
    <t xml:space="preserve"> - Địa chỉ thường trú:
</t>
  </si>
  <si>
    <r>
      <rPr>
        <sz val="14"/>
        <rFont val="Times New Roman"/>
        <family val="1"/>
      </rPr>
      <t xml:space="preserve">15 Hương Điền, phường Nam Nha Trang, tỉnh Khánh Hòa </t>
    </r>
    <r>
      <rPr>
        <b/>
        <sz val="14"/>
        <rFont val="Times New Roman"/>
        <family val="1"/>
      </rPr>
      <t xml:space="preserve">
</t>
    </r>
  </si>
  <si>
    <r>
      <t xml:space="preserve">* Căn cứ pháp lý áp dụng:
- Biên bản kiểm kê khối lượng giải tỏa: </t>
    </r>
    <r>
      <rPr>
        <sz val="14"/>
        <rFont val="Times New Roman"/>
        <family val="1"/>
      </rPr>
      <t>ngày 24/6/2026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Quyết định số 32/2026/QĐ-UBND ngày 29/4/2026 của UBND tỉnh Khánh Hòa Quy định một số biện pháp hỗ trợ khác khi Nhà nước thu hồi đất trên địa bàn tỉnh Khánh Hòa.</t>
    </r>
  </si>
  <si>
    <t>- Nhà mái lợp tole, cột kèo sắt, vách tole, cửa tole, có hệ vệ sinh trong nhà có hầm tự hoại.
+ DT nhà có nền lát gạch men: DTXD:  5m x 6,1m =30,5 m²; DTGT:  30,5m²
+ DT nhà có nền xi măng: 5,0m x 1,9m =9,5 m²; DTGT: 9,5 m²</t>
  </si>
  <si>
    <t>+ Nhà mái lợp tole, cột kèo sắt, vách tole, cửa tole, có hệ vệ sinh trong nhà (có hầm tự hoại). Nền lát gạch men: DTXD:  5m x 6,1m =30,5m²; DTGT:  30,5m²</t>
  </si>
  <si>
    <t xml:space="preserve">  </t>
  </si>
  <si>
    <r>
      <t>Áp giá tại STT A17, PLI Quyết định số 08/2026/QĐ-UBND ngày 22/01/2026 của UBND tỉnh Khánh Hòa, đơn giá: 2.115.140đ/m²XD. Đơn giá điều chỉnh tăng 8,5% vì cột kèo sắt (theo Mục I, STT 12 văn bản số 2093/SXD-KTVLXD ngày 05/3/2026 của Sở Xây dựng), đơn giá nhân hệ số điều chỉnh 1,1 vì có hệ vệ sinh (theo Mục I, STT 1 văn bản số 2093/SXD-KTVLXD ngày 05/3/2026 của Sở Xây dựng). Cộng  thêm 481.600đ/m² vì nền gạch men (STT 37 mục A, Phụ lục I, Quyết định số 12/QĐ-UBND ngày 24/02/2026 (Áp theo Mục I, STT 03 văn bản số 2093/SXD-KTVLXD ngày 05/3/2026 của Sở Xây dựng)
[(</t>
    </r>
    <r>
      <rPr>
        <sz val="14"/>
        <rFont val="Times New Roman"/>
        <family val="1"/>
      </rPr>
      <t xml:space="preserve">2.115.140 đ/m²XD  x 1,1) + </t>
    </r>
    <r>
      <rPr>
        <i/>
        <sz val="14"/>
        <rFont val="Times New Roman"/>
        <family val="1"/>
      </rPr>
      <t xml:space="preserve"> 481.600đ/m²] + </t>
    </r>
    <r>
      <rPr>
        <sz val="14"/>
        <rFont val="Times New Roman"/>
        <family val="1"/>
      </rPr>
      <t>(2.115.140 đ/m² x 8,5%) = 2.988.041đ/m²XD</t>
    </r>
  </si>
  <si>
    <t>+ Nhà mái lợp tole, cột kèo sắt, vách tole, cửa tole, có hệ vệ sinh trong nhà (có hầm tự hoại). DT nhà có nền xi măng:  5,0m x 1,9m =9,5m²; DTGT: 9,5m²</t>
  </si>
  <si>
    <r>
      <t>Áp giá tại STT A17, PLI Quyết định số 08/2026/QĐ-UBND ngày 22/01/2026 của UBND tỉnh Khánh Hòa, đơn giá: 2.115.140đ/m²XD. Đơn giá điều chỉnh tăng 8,5% vì cột kèo sắt (theo Mục I, STT 12 văn bản số 2093/SXD-KTVLXD ngày 05/3/2026 của Sở Xây dựng), đơn giá nhân hệ số điều chỉnh 1,1 vì có hệ vệ sinh (theo Mục I, STT 1 văn bản số 2093/SXD-KTVLXD ngày 05/3/2026 của Sở Xây dựng). 
(</t>
    </r>
    <r>
      <rPr>
        <sz val="14"/>
        <rFont val="Times New Roman"/>
        <family val="1"/>
      </rPr>
      <t xml:space="preserve">2.115.140 đ/m²XD  x 1,1) </t>
    </r>
    <r>
      <rPr>
        <i/>
        <sz val="14"/>
        <rFont val="Times New Roman"/>
        <family val="1"/>
      </rPr>
      <t xml:space="preserve"> + </t>
    </r>
    <r>
      <rPr>
        <sz val="14"/>
        <rFont val="Times New Roman"/>
        <family val="1"/>
      </rPr>
      <t>(2.115.140 đ/m² x 8,5%) = 2.506.441đ/m²XD</t>
    </r>
  </si>
  <si>
    <t>- Chuồng gà: vách lưới B40, trụ gỗ, mái lợp bạt, cột kèo gỗ, nền đất. DT: 2,7m x 3,5m = 9,45 m²</t>
  </si>
  <si>
    <t xml:space="preserve">Áp đơn giá tại phụ lục STT C.02, Quyết định số 08/2026/QĐ-UBND ngày 22/01/2026 của UBND tỉnh Khánh Hòa, đơn giá: 409,513 đ/m². Giảm 8,5% vì lợp bạt, tăng 8,5% vì vách lưới B40. (theo Mục I, STT 12 văn bản số 2093/SXD-KTVLXD ngày 05/3/2026 của Sở Xây dựng) </t>
  </si>
  <si>
    <t>- Hàng rào lưới B40, trụ BTCT cao 1,5m dài 13,7m</t>
  </si>
  <si>
    <t>m dài</t>
  </si>
  <si>
    <t xml:space="preserve">2 - Tài sản khác: </t>
  </si>
  <si>
    <t>- Công tơ điện: 01 cái</t>
  </si>
  <si>
    <t>cái</t>
  </si>
  <si>
    <t>- Đồng hồ nước: 01 cụm</t>
  </si>
  <si>
    <t>cụm</t>
  </si>
  <si>
    <t xml:space="preserve">- Khế loại A: 02 cây </t>
  </si>
  <si>
    <t>- Thanh long loại A: 1 bụi</t>
  </si>
  <si>
    <t>bụi</t>
  </si>
  <si>
    <t>- Nhãn 4 năm: 02 cây</t>
  </si>
  <si>
    <t>- Sơ ri loại 1 năm: 01 cây</t>
  </si>
  <si>
    <r>
      <t xml:space="preserve">- Bạch đàn trên 4 năm: 05 cây  </t>
    </r>
    <r>
      <rPr>
        <i/>
        <sz val="14"/>
        <rFont val="Times New Roman"/>
        <family val="1"/>
      </rPr>
      <t>- Áp giá tương đương bạch đàn năm thứ 3</t>
    </r>
  </si>
  <si>
    <r>
      <t>- Gỗ hương trên 4 năm: 01 cây  -</t>
    </r>
    <r>
      <rPr>
        <i/>
        <sz val="14"/>
        <rFont val="Times New Roman"/>
        <family val="1"/>
      </rPr>
      <t xml:space="preserve"> Áp giá tương đương Sưa năm thứ 4. ĐG: 114.000 đồng/cây</t>
    </r>
  </si>
  <si>
    <r>
      <t>- Sanh loại A: 08 cây</t>
    </r>
    <r>
      <rPr>
        <i/>
        <sz val="14"/>
        <rFont val="Times New Roman"/>
        <family val="1"/>
      </rPr>
      <t xml:space="preserve">  -  Áp giá tương đương cây bồ quân STT II.3. ĐG: 228.000đồng</t>
    </r>
  </si>
  <si>
    <t>- Trúc loại A: 01 cây</t>
  </si>
  <si>
    <r>
      <t>- Bàng loại A: 01 cây</t>
    </r>
    <r>
      <rPr>
        <i/>
        <sz val="14"/>
        <rFont val="Times New Roman"/>
        <family val="1"/>
      </rPr>
      <t xml:space="preserve"> -  Áp giá tương đương cây bồ quân STT II.3. ĐG: 228.000đồng</t>
    </r>
  </si>
  <si>
    <r>
      <t>- Mai loại A: 01 cây</t>
    </r>
    <r>
      <rPr>
        <i/>
        <sz val="14"/>
        <rFont val="Times New Roman"/>
        <family val="1"/>
      </rPr>
      <t xml:space="preserve"> -  Áp giá tương đương cây dâu tằm STT II.13. ĐG: 168.000đồng</t>
    </r>
  </si>
  <si>
    <t xml:space="preserve">IV/ Chính sách hỗ trợ (1+2+3): </t>
  </si>
  <si>
    <t>118/10-353599-1</t>
  </si>
  <si>
    <t>Hộ bà Lê Thị Thành</t>
  </si>
  <si>
    <t xml:space="preserve">CCCD số 038192019519  do Cục QLHC về TTXH cấp ngày 08/11/2022 cho Bà Lê Thị Thành </t>
  </si>
  <si>
    <t xml:space="preserve"> - Diện tích (thửa số 115 - tờ BĐ số 10-353599-1)</t>
  </si>
  <si>
    <t xml:space="preserve"> + DT đất thu hồi :</t>
  </si>
  <si>
    <r>
      <t xml:space="preserve">* Căn cứ pháp lý áp dụng:
- Biên bản kiểm kê khối lượng giải tỏa: </t>
    </r>
    <r>
      <rPr>
        <sz val="14"/>
        <rFont val="Times New Roman"/>
        <family val="1"/>
      </rPr>
      <t>ngày 23/6/2026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Quyết định số 32/2026/QĐ-UBND ngày 29/4/2026 của UBND tỉnh Khánh Hòa Quy định một số biện pháp hỗ trợ khác khi Nhà nước thu hồi đất trên địa bàn tỉnh Khánh Hòa.</t>
    </r>
  </si>
  <si>
    <t>Áp đơn giá tại phụ lục STT A17, Quyết định số 08/2026/QĐ-UBND ngày 22/01/2026 của UBND tỉnh Khánh Hòa, đơn giá: 2.115.140đ/m². Đơn giá tăng 8.5% vì mái lợp ngói (theo Mục I, STT 12 văn bản số 2093/SXD-KTVLXD ngày 05/3/2026 của Sở Xây dựng)
Đơn giá: 2.115.140 đ/m² + (2.115.140 đ/m² x 8,5%) = 2.294.927 đ/m²</t>
  </si>
  <si>
    <t xml:space="preserve"> - Nhà vệ sinh độc lập có hầm tự hoại, tường gạch cửa nhựa, mái lợp tole, kèo gỗ tiêu chuẩn
DT: 1,7m x 2,8m = 4,76 m²</t>
  </si>
  <si>
    <t xml:space="preserve">Áp đơn giá tại phụ lục STT C.7, Quyết định số 08/2026/QĐ-UBND ngày 22/01/2026 của UBND tỉnh Khánh Hòa, đơn giá: 6.960.234 đ/m². 
</t>
  </si>
  <si>
    <t>- Chuồng gà: mái lợp tôn, cột kèo gỗ, vách lưới B40, nền đất.
 DT: 6m x 2,5m = 15m²XD</t>
  </si>
  <si>
    <t>Áp đơn giá tại phụ lục STT C.02, Quyết định số 08/2026/QĐ-UBND ngày 22/01/2026 của UBND tỉnh Khánh Hòa, đơn giá: 409.513 đ/m². Tăng 8.5% vì có vách lưới B40 ( theo Mục I, STT 12 văn bản số 2093/SXD-KTVLXD ngày 05/3/2026 của Sở Xây dựng)
409.513đ/m²XD + (409.513 đ/m²XD x 8,5%) =  444.322đ/m²XD</t>
  </si>
  <si>
    <t xml:space="preserve">Hàng rào trụ BTCT cao 1,5m lưới B40 dài 13m </t>
  </si>
  <si>
    <t>Áp đơn giá tại phụ lục STT C.11.1, Quyết định số 08/2026/QĐ-UBND ngày 22/01/2026 của UBND tỉnh Khánh Hòa, đơn giá: 537.955 đ/m².</t>
  </si>
  <si>
    <t>2 - Tài sản khác:</t>
  </si>
  <si>
    <t>- Công tơ điện 1 pha: 01 cái</t>
  </si>
  <si>
    <t>- Chuối loại C: 2 Cây</t>
  </si>
  <si>
    <t>115/10-353599-1</t>
  </si>
  <si>
    <t>CCCD số 040175027280 do Cục QLHC về TTXH cấp ngày 01/9/2021 cho bà Trần Thị Tâm</t>
  </si>
  <si>
    <t xml:space="preserve"> - Diện tích (thửa số 51 - tờ BĐ số 10-353599-1)</t>
  </si>
  <si>
    <t xml:space="preserve"> - Địa chỉ thường trú:</t>
  </si>
  <si>
    <r>
      <rPr>
        <sz val="14"/>
        <rFont val="Times New Roman"/>
        <family val="1"/>
      </rPr>
      <t xml:space="preserve">Thôn Phú Vinh 1, Phường Tây Nha Trang, tỉnh Khánh Hòa </t>
    </r>
    <r>
      <rPr>
        <b/>
        <sz val="14"/>
        <rFont val="Times New Roman"/>
        <family val="1"/>
      </rPr>
      <t xml:space="preserve">
</t>
    </r>
  </si>
  <si>
    <r>
      <t xml:space="preserve">Áp đơn giá tại STT A16, PL1, Quyết định số 08/2026/QĐ-UBND ngày 22/01/2026 của UBND tỉnh Khánh Hòa. Đơn giá: 2.401.296 đ/m²XD.  Đơn giá nhân hệ số điều chỉnh 1,1 vì có hệ vệ sinh (theo Mục I, STT 1 văn bản số 2093/SXD-KTVLXD ngày 05/3/2026 của Sở Xây dựng). Cộng  thêm 481.600đ/m² vì nền gạch men (STT 37 mục A, Phụ lục I, Quyết định số 12/QĐ-UBND ngày 24/02/2026 (Áp theo Mục I, STT 03 văn bản số 2093/SXD-KTVLXD ngày 05/3/2026 của Sở Xây dựng). Tăng 8,5% vì cột kèo sắt, móng đá chẻ (theo Mục I, STT 12 văn bản số 2093/SXD-KTVLXD ngày 05/3/2026 của Sở Xây dựng)
</t>
    </r>
    <r>
      <rPr>
        <sz val="14"/>
        <rFont val="Times New Roman"/>
        <family val="1"/>
      </rPr>
      <t>2.401.296đ/m²XD  x 1,1 + 481.600đ/m²XD + (2.401.296đ/m²XD x 8,5%) = 3.327.136 đ/m²XD</t>
    </r>
  </si>
  <si>
    <t>- Hàng rào lưới B40, cột BTCT cao 1,5m dài 6,8m</t>
  </si>
  <si>
    <t>Áp giá tại phần C, STT11, Quyết định số 08/2026/QĐ-UBND ngày 22/01/2026 của UBND tỉnh Khánh Hòa. Đơn giá: 537.955 đ/md.</t>
  </si>
  <si>
    <t>- Móng xây đá chẻ (6,8 x 0,4 x 0,2) + (8,2 x 0,6 x 0,2) = 1,528m³</t>
  </si>
  <si>
    <t>m³</t>
  </si>
  <si>
    <t>Áp giá tại phần C, STT 48, Quyết định số 08/2026/QĐ-UBND ngày 22/01/2026 của UBND tỉnh Khánh Hòa. Đơn giá: 3.096.280 đ/m³.</t>
  </si>
  <si>
    <r>
      <t xml:space="preserve"> - Keo lá tràm năm thứ 04: 01 cây - </t>
    </r>
    <r>
      <rPr>
        <i/>
        <sz val="14"/>
        <rFont val="Times New Roman"/>
        <family val="1"/>
      </rPr>
      <t>Áp giá tương đương Keo lá tràm năm thứ 3</t>
    </r>
  </si>
  <si>
    <t>Hộ bà Trần Thị Tâm</t>
  </si>
  <si>
    <t>51/10-353599-1</t>
  </si>
  <si>
    <r>
      <rPr>
        <b/>
        <i/>
        <sz val="14"/>
        <rFont val="Times New Roman"/>
        <family val="1"/>
      </rPr>
      <t xml:space="preserve"> ** Căn cứ pháp lý áp dụng:
</t>
    </r>
    <r>
      <rPr>
        <i/>
        <sz val="14"/>
        <rFont val="Times New Roman"/>
        <family val="1"/>
      </rPr>
      <t>- Căn cứ Khoản 2, Điều 101 Luật đất đai năm 2024: " Trường hợp không được bồi thường về đất khi Nhà nước thu hồi đất: Đất do cơ quan tổ chức Nhà nước quản lý quy định tại Điều 217 của Luật này"
- Căn cứ Điểm b, Khoản 1, Điều 217 Luật Đất đai năm 2024: "Đất do cơ quan, tổ chức của Nhà nước quản lý là đất chưa giao, chưa cho thuê hoặc đã được giao đất để quản lý, bao gồm: Đất sông, ngòi, kênh, rạch, suối, ao, hồ, đầm, phá....."</t>
    </r>
  </si>
  <si>
    <t>Vị trí thửa đất thu hồi nằm trong Danh sách Kết luận thanh tra  thuộc Danh sách các loại đất khác do Nhà nước quản lý theo Sổ mục kê năm 2002, không bồi thường</t>
  </si>
  <si>
    <t>CCCD số 056304011093 do Cục QLHC về TTXH cấp ngày 01/9/2021 cho bà Lê Thị Mỹ Hòa</t>
  </si>
  <si>
    <t xml:space="preserve"> - Diện tích (thửa số 62 - tờ BĐ số 353599-1)</t>
  </si>
  <si>
    <r>
      <t xml:space="preserve">* Căn cứ pháp lý áp dụng:
- Biên bản kiểm kê khối lượng giải tỏa: </t>
    </r>
    <r>
      <rPr>
        <sz val="14"/>
        <rFont val="Times New Roman"/>
        <family val="1"/>
      </rPr>
      <t>ngày23/6/2026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Quyết định số 32/2026/QĐ-UBND ngày 29/4/2026 của UBND tỉnh Khánh Hòa Quy định một số biện pháp hỗ trợ khác khi Nhà nước thu hồi đất trên địa bàn tỉnh Khánh Hòa.</t>
    </r>
  </si>
  <si>
    <t>- Móng xây đá chẻ (3,9m + 4,5m + 18,7m + 5,7m) x 0,4 x 0,2 = 2,624m³</t>
  </si>
  <si>
    <t xml:space="preserve">   </t>
  </si>
  <si>
    <t>- Hàng rào cột gỗ + dây thép gai (2 dây) cao 1,4m dài 3,3m</t>
  </si>
  <si>
    <t>Áp giá tại phần C, STT12.1, Quyết định số 08/2026/QĐ-UBND ngày 22/01/2026 của UBND tỉnh Khánh Hòa. Đơn giá: 357.656 đ/md. Đơn giá giảm 8,5% vì không móng (theo Mục I, STT 12 văn bản số 2093/SXD-KTVLXD ngày 05/3/2026 của Sở Xây dựng)
357.656đ/md - (357.656đ/md x 8,5%) = 327.255đ/md</t>
  </si>
  <si>
    <t>- Dừa xiêm 04 năm: 02 cây  (áp giá PL1 - STT 18, ĐG: 997.000đ/m²)</t>
  </si>
  <si>
    <r>
      <t xml:space="preserve">- Bạch đàn năm thứ 04: 02 cây - </t>
    </r>
    <r>
      <rPr>
        <i/>
        <sz val="14"/>
        <rFont val="Times New Roman"/>
        <family val="1"/>
      </rPr>
      <t>Áp giá tương đương cây Bạch đàn năm thứ 3</t>
    </r>
  </si>
  <si>
    <r>
      <t xml:space="preserve">
</t>
    </r>
    <r>
      <rPr>
        <sz val="14"/>
        <rFont val="Times New Roman"/>
        <family val="1"/>
      </rPr>
      <t xml:space="preserve">Thôn Thái Thông, Phường Nam Nha Trang, tỉnh Khánh Hòa </t>
    </r>
    <r>
      <rPr>
        <b/>
        <sz val="14"/>
        <rFont val="Times New Roman"/>
        <family val="1"/>
      </rPr>
      <t xml:space="preserve">
</t>
    </r>
  </si>
  <si>
    <t xml:space="preserve"> + DT đất thu hồi: </t>
  </si>
  <si>
    <t>Hộ bà Lê Thị Mỹ Hòa</t>
  </si>
  <si>
    <t>62/10-353599-1</t>
  </si>
  <si>
    <t>CCCD số 056178009315 do Cục QLHC về TTXH cấp ngày 14/8/2021 cho bà Nguyễn Thị Cẩm Vân</t>
  </si>
  <si>
    <t xml:space="preserve"> - Diện tích (thửa số 60 - tờ BĐ số 353599-1)</t>
  </si>
  <si>
    <r>
      <t xml:space="preserve"> - Địa chỉ thường trú:
63 Phan Đình Giót</t>
    </r>
    <r>
      <rPr>
        <sz val="14"/>
        <rFont val="Times New Roman"/>
        <family val="1"/>
      </rPr>
      <t xml:space="preserve">, phường Tây Nha Trang, tỉnh Khánh Hòa </t>
    </r>
    <r>
      <rPr>
        <b/>
        <sz val="14"/>
        <rFont val="Times New Roman"/>
        <family val="1"/>
      </rPr>
      <t xml:space="preserve">
</t>
    </r>
  </si>
  <si>
    <t>+ Nhà mái lợp tole, cột kèo sắt, vách tole, cửa tole, có hệ vệ sinh trong nhà (có hầm tự hoại)
+ Nền lát gạch men: DTXD:  6m x 4,6m = 27,6m²; DTGT:  27,6m²</t>
  </si>
  <si>
    <r>
      <t>Áp giá tại STT A18, PLI Quyết định số 08/2026/QĐ-UBND ngày 22/01/2026 của UBND tỉnh Khánh Hòa, đơn giá: 2.309.288 đ/m²XD. Đơn giá điều chỉnh giảm 8,5% vì không trần (theo Mục I, STT 12 văn bản số 2093/SXD-KTVLXD ngày 05/3/2026 của Sở Xây dựng), đơn giá nhân hệ số điều chỉnh 1,1 vì có hệ vệ sinh (theo Mục I, STT 1 văn bản số 2093/SXD-KTVLXD ngày 05/3/2026 của Sở Xây dựng). Cộng  thêm 481.600đ/m² vì nền gạch men (STT 37 mục A, Phụ lục I, Quyết định số 12/QĐ-UBND ngày 24/02/2026 (Áp theo Mục I, STT 03 văn bản số 2093/SXD-KTVLXD ngày 05/3/2026 của Sở Xây dựng)
[(</t>
    </r>
    <r>
      <rPr>
        <sz val="14"/>
        <rFont val="Times New Roman"/>
        <family val="1"/>
      </rPr>
      <t xml:space="preserve">2.309.288 đ/m²XD  x 1,1) + </t>
    </r>
    <r>
      <rPr>
        <i/>
        <sz val="14"/>
        <rFont val="Times New Roman"/>
        <family val="1"/>
      </rPr>
      <t xml:space="preserve"> 481.600đ/m²] - </t>
    </r>
    <r>
      <rPr>
        <sz val="14"/>
        <rFont val="Times New Roman"/>
        <family val="1"/>
      </rPr>
      <t>(2.309.288 đ/m²XD x 8,5%) = 2.825.527đ/m²XD</t>
    </r>
  </si>
  <si>
    <t>+ Nhà mái lợp tole, cột kèo sắt, vách tole, cửa tole, có hệ vệ sinh trong nhà (có hầm tự hoại)
+ DT nhà có nền xi măng: 2,1m x 4,6m = 9,66m²; DTGT:  9,66m²</t>
  </si>
  <si>
    <r>
      <t xml:space="preserve">Áp giá tại STT A18, PLI Quyết định số 08/2026/QĐ-UBND ngày 22/01/2026 của UBND tỉnh Khánh Hòa, đơn giá: 2.309.288 đ/m²XD. Đon giá điều chỉnh giảm 8,5% vì không trần (theo Mục I, STT 12 văn bản số 2093/SXD-KTVLXD ngày 05/3/2026 của Sở Xây dựng), đơn giá nhân hệ số điều chỉnh 1,1 vì có hệ vệ sinh (theo Mục I, STT 1 văn bản số 2093/SXD-KTVLXD ngày 05/3/2026 của Sở Xây dựng).
</t>
    </r>
    <r>
      <rPr>
        <sz val="14"/>
        <rFont val="Times New Roman"/>
        <family val="1"/>
      </rPr>
      <t>2.309.288 đ/m²XD  x 1,1 - (2.309.288 đ/m² x 8,5%) = 2.343.927đ/m²XD</t>
    </r>
  </si>
  <si>
    <t>- Mái che cột kèo sắt, mái lợp tole, nền xi măng
DTXD = DTGT = 3,3m x 8,1m = 26,73m²</t>
  </si>
  <si>
    <t>Áp đơn giá tại phụ lục STT C.04, Quyết định số 08/2026/QĐ-UBND ngày 22/01/2026 của UBND tỉnh Khánh Hòa, đơn giá: 1.259.097 đ/m²XD.</t>
  </si>
  <si>
    <t>- Nền xi măng bê tông lót
DT: (1,9m x 3,3m) + (7,8m x 2,1m) = 22,65m²XD</t>
  </si>
  <si>
    <t xml:space="preserve">Áp đơn giá tại STT C17 Quyết định số 08/2026/QĐ-UBND ngày 22/01/2026 của UBND tỉnh Khánh Hòa. Đơn giá: 230.583đ/m². </t>
  </si>
  <si>
    <t>- Hàng rào lưới B40, trụ BTCT cao 1,5m dài 50,90m (18 trụ BTCT)</t>
  </si>
  <si>
    <t xml:space="preserve">- Xoài hạt loại C: 02 cây </t>
  </si>
  <si>
    <t>- Bưởi loại A: 12 cây</t>
  </si>
  <si>
    <t>- Bưởi loại C: 02 cây</t>
  </si>
  <si>
    <t>- Mãng cầu loại A: 02 cây</t>
  </si>
  <si>
    <t>- Dừa xiêm loại A: 01 cây</t>
  </si>
  <si>
    <t>- Me năm loại 4 năm: 01 cây</t>
  </si>
  <si>
    <t>- Thanh long loại A: 02 bụi</t>
  </si>
  <si>
    <r>
      <t xml:space="preserve">- Bạch đàn năm thứ 04: 02 cây </t>
    </r>
    <r>
      <rPr>
        <i/>
        <sz val="14"/>
        <rFont val="Times New Roman"/>
        <family val="1"/>
      </rPr>
      <t>- Áp giá tương đương bạch đàn năm thứ 3</t>
    </r>
  </si>
  <si>
    <t>- Xưa năm thứ 04: 01 cây</t>
  </si>
  <si>
    <t>- Trúc loại A: 01 bụi</t>
  </si>
  <si>
    <r>
      <t xml:space="preserve">- Sanh loại A: 03 cây </t>
    </r>
    <r>
      <rPr>
        <i/>
        <sz val="14"/>
        <rFont val="Times New Roman"/>
        <family val="1"/>
      </rPr>
      <t>-  Áp giá tương đương cây bồ quân STT II.3. ĐG: 228.000đồng</t>
    </r>
  </si>
  <si>
    <r>
      <t xml:space="preserve">- Đại tướng quân loại A: 01 cây - </t>
    </r>
    <r>
      <rPr>
        <i/>
        <sz val="14"/>
        <rFont val="Times New Roman"/>
        <family val="1"/>
      </rPr>
      <t xml:space="preserve"> Áp giá tương đương cây bồ quân STT II.3. ĐG: 228.000đồng</t>
    </r>
  </si>
  <si>
    <r>
      <t xml:space="preserve">- Sứ đỏ loại A: 01 cây  -  </t>
    </r>
    <r>
      <rPr>
        <i/>
        <sz val="14"/>
        <rFont val="Times New Roman"/>
        <family val="1"/>
      </rPr>
      <t>Áp giá tương đương cây bồ kết STT II.2. ĐG: 329.000đồng</t>
    </r>
  </si>
  <si>
    <r>
      <t xml:space="preserve">- Mai chiếu thuỷ loại A: 01 cây </t>
    </r>
    <r>
      <rPr>
        <i/>
        <sz val="14"/>
        <rFont val="Times New Roman"/>
        <family val="1"/>
      </rPr>
      <t>-  Áp giá tương đương cây dâu tằm STT II.13. ĐG: 168.000đồng</t>
    </r>
  </si>
  <si>
    <r>
      <t xml:space="preserve">- Hoa nhài loại A: 01 cây  </t>
    </r>
    <r>
      <rPr>
        <i/>
        <sz val="14"/>
        <rFont val="Times New Roman"/>
        <family val="1"/>
      </rPr>
      <t>-  Áp giá tương đương cây Gòn STT II.19. ĐG: 125.000đồng</t>
    </r>
  </si>
  <si>
    <t>1. Về đất:</t>
  </si>
  <si>
    <t xml:space="preserve">1. Về đất: </t>
  </si>
  <si>
    <t>- Nhà mái lợp tole, cột kèo sắt, vách tole, cửa tole, có hệ vệ sinh trong nhà (có hầm tự hoại)
+ DT nhà có nền lát gạch men: DTXD:  6m x 4,6m = 27,6m²; DTGT:  27,6m²
+ DT nhà có nền xi măng: 2,1m x 4,6m = 9,66m²; DTGT:  9,66m²</t>
  </si>
  <si>
    <t>60/10-353599-1</t>
  </si>
  <si>
    <t>CCCD số 056173008980 do Cục QLHC về TTXH cấp ngày 14/8/2021 cho bà Lê Thị Dầu</t>
  </si>
  <si>
    <t xml:space="preserve"> - Diện tích (thửa số 61- tờ BĐ số 353599-1- Tờ 10)</t>
  </si>
  <si>
    <t xml:space="preserve"> + DT đất thu hồi</t>
  </si>
  <si>
    <t>Thái Thông, P. Nam Nha Trang, Khánh Hòa.</t>
  </si>
  <si>
    <r>
      <t xml:space="preserve">* Căn cứ pháp lý áp dụng:
- Biên bản kiểm kê khối lượng giải tỏa: </t>
    </r>
    <r>
      <rPr>
        <sz val="14"/>
        <rFont val="Times New Roman"/>
        <family val="1"/>
      </rPr>
      <t>ngày</t>
    </r>
    <r>
      <rPr>
        <b/>
        <sz val="14"/>
        <rFont val="Times New Roman"/>
        <family val="1"/>
      </rPr>
      <t xml:space="preserve"> 10/7</t>
    </r>
    <r>
      <rPr>
        <sz val="14"/>
        <rFont val="Times New Roman"/>
        <family val="1"/>
      </rPr>
      <t>/2026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Quyết định số 32/2026/QĐ-UBND ngày 29/4/2026 của UBND tỉnh Khánh Hòa Quy định một số biện pháp hỗ trợ khác khi Nhà nước thu hồi đất trên địa bàn tỉnh Khánh Hòa.</t>
    </r>
  </si>
  <si>
    <r>
      <t xml:space="preserve"> - Nhà vệ sinh độc lập có hầm tự hoại, tường gạch mái tole, cột kèo gỗ tiêu chuẩn, cửa gỗ nền xi măng 
DTXD =DTGT=1,3m x 1,2m = 1,56 m</t>
    </r>
    <r>
      <rPr>
        <vertAlign val="superscript"/>
        <sz val="14"/>
        <rFont val="Times New Roman"/>
        <family val="1"/>
      </rPr>
      <t>2</t>
    </r>
  </si>
  <si>
    <t xml:space="preserve">Áp đơn giá tại phụ lục STT C.7, Quyết định số 08/2026/QĐ-UBND ngày 22/01/2026 của UBND tỉnh Khánh Hòa, đơn giá: 6.960.234 đ/m².
</t>
  </si>
  <si>
    <r>
      <t xml:space="preserve"> Nền xi măng 
(1,6m x1,3m)+(0,9m x7,2m) + (3,4m x 1,7m) +(2m x 4m) +(3,4m x 0,8m) =25,06 m</t>
    </r>
    <r>
      <rPr>
        <vertAlign val="superscript"/>
        <sz val="14"/>
        <rFont val="Times New Roman"/>
        <family val="1"/>
      </rPr>
      <t>2</t>
    </r>
  </si>
  <si>
    <t xml:space="preserve"> Móng đá chẻ 
(0,6m + 6,6m) x 0,2 x 0,2 =0,288 m3</t>
  </si>
  <si>
    <t>m3</t>
  </si>
  <si>
    <t>Áp đơn giá tại phụ lục STT C.48, Quyết định số 08/2026/QĐ-UBND ngày 22/01/2026 của UBND tỉnh Khánh Hòa, đơn giá: 3.096.280 đ/m².</t>
  </si>
  <si>
    <t>Áp đơn giá tại phụ lục STT C.4, Quyết định số 08/2026/QĐ-UBND ngày 22/01/2026 của UBND tỉnh Khánh Hòa, đơn giá: 1.259.097đ/m².</t>
  </si>
  <si>
    <t>Áp đơn giá tại phụ lục STT C.80, Quyết định số 08/2026/QĐ-UBND ngày 22/01/2026 của UBND tỉnh Khánh Hòa, đơn giá: 3.574.642 đ/m².</t>
  </si>
  <si>
    <t>- Đồng hồ điện 1 pha</t>
  </si>
  <si>
    <t>- Đồng hồ nước</t>
  </si>
  <si>
    <t xml:space="preserve"> - Quyết định số 35/2026/QĐ-UBND ngày 04/5/2026 của UBND tỉnh Khánh Hòa ban hành quy định đơn giá bồi thường thiệt hại đối với cây trồng, vật nuôi khi Nhà nước thu hồi đất trên địa bàn tỉnh Khánh Hòa;
- Văn bản số 9455/SNNMT-TTBVTV ngày 30/6/2026 của Sở Nông nghiệp và Môi trường V/v hướng dẫn áp dụng đơn giá bồi thường đối với cây trồng khi Nhà nước thu hồi đất theo QĐ số 35/2026/QĐ-UBND ngày 04/5/2026 của UBND tỉnh Khánh Hòa.</t>
  </si>
  <si>
    <t>- Nhà vách tole, mái tole, cột kèo gỗ tiêu chuẩn, cửa tole, nền xi măng 
DTXD = DTGT = 1,8m x 1,3m = 2,34m²</t>
  </si>
  <si>
    <t>Áp đơn giá tại phụ lục STT A.17, Quyết định số 08/2026/QĐ-UBND ngày 22/01/2026 của UBND tỉnh Khánh Hòa, đơn giá: 2.115.140đ/m²xd. Đơn giá tăng 8,5% vì vách tole (theo Mục I, STT 12 văn bản số 2093/SXD-KTVLXD ngày 05/3/2026 của Sở Xây dựng)
2.115.140đ/m²xd + (2.115.140đ/m²xd x 8,5%) = 2.294.927 đ/m²xd</t>
  </si>
  <si>
    <t xml:space="preserve"> m²XD</t>
  </si>
  <si>
    <r>
      <t xml:space="preserve"> - Nhà vách tole, mái lợp tole, cột kèo gỗ tiêu chuẩn, cửa tole, nền xi măng
DTXD =DTGT= (3,4 m x 3,4m)- (1,3m x 1,2m) = 10m</t>
    </r>
    <r>
      <rPr>
        <vertAlign val="superscript"/>
        <sz val="14"/>
        <rFont val="Times New Roman"/>
        <family val="1"/>
      </rPr>
      <t>2</t>
    </r>
  </si>
  <si>
    <t>Áp đơn giá tại phụ lục STT A.1, Quyết định số 08/2026/QĐ-UBND ngày 22/01/2026 của UBND tỉnh Khánh Hòa, đơn giá: 3.751.000 đ/m². Đơn giá tăng 8,5% vì tường xây gạch cao 3,3m (theo Mục I, STT 12 văn bản số 2093/SXD-KTVLXD ngày 05/3/2026 của Sở Xây dựng).Đơn giá cộng thêm 338.256 đ/m² vì nền gạch men (theo Mục I, STT 3 văn bản số 2093/SXD-KTVLXD ngày 05/3/2026 của Sở Xây dựng).
Đơn giá: (3.751.000 đ/m² + 338.256đ/m² ) +((3.751.000 đ/m² x 8%)= 4.408.091 đ/m²</t>
  </si>
  <si>
    <t>- Mái che mái lợp tole, cột kèo sắt, nền xi măng
DT = 3,1m x 8,44m = 26,16 m²</t>
  </si>
  <si>
    <r>
      <t xml:space="preserve">- Sanh loại A: 01 cây </t>
    </r>
    <r>
      <rPr>
        <i/>
        <sz val="14"/>
        <rFont val="Times New Roman"/>
        <family val="1"/>
      </rPr>
      <t>-  Áp giá tương đương cây bồ quân STT II.3. ĐG: 228.000đồng</t>
    </r>
  </si>
  <si>
    <r>
      <t xml:space="preserve">- Bạch đàn năm thứ 04: 02 cây </t>
    </r>
    <r>
      <rPr>
        <i/>
        <sz val="14"/>
        <rFont val="Times New Roman"/>
        <family val="1"/>
      </rPr>
      <t>- Áp giá tương đương bạch đàn năm thứ 3. ĐG: 53.000 đồng</t>
    </r>
  </si>
  <si>
    <t>61/10-353599-1</t>
  </si>
  <si>
    <t>CC số 056186005709 do Bộ Công an cấp ngày 17/3/2026 cho bà Lê Thị Ngọc Bích</t>
  </si>
  <si>
    <r>
      <t>+ Tường ốp gạch men trong nhà cao 1,2m, dài 
( 0,75m + 2,1m + 2,75m + 0,35m + 5,2m + 2,4m + 2,7m + 1,6m + 3m ) = 20,85md
DT: (1,2m x 20,85m) = 25,02m</t>
    </r>
    <r>
      <rPr>
        <vertAlign val="superscript"/>
        <sz val="14"/>
        <rFont val="Times New Roman"/>
        <family val="1"/>
      </rPr>
      <t>2</t>
    </r>
  </si>
  <si>
    <t>Áp đơn giá tại STT 33, mục A, Phụ lục I, Quyết định số 12/QĐ-UBND ngày 24/02/2026của UBND tỉnh Khánh Hòa. Đơn giá: 401.056đ/m².</t>
  </si>
  <si>
    <r>
      <t>+ Gạch men ốp bếp (4m + 1,2m) x 0,6m = 3,12m</t>
    </r>
    <r>
      <rPr>
        <vertAlign val="superscript"/>
        <sz val="14"/>
        <rFont val="Times New Roman"/>
        <family val="1"/>
      </rPr>
      <t>2</t>
    </r>
  </si>
  <si>
    <r>
      <t>m</t>
    </r>
    <r>
      <rPr>
        <vertAlign val="superscript"/>
        <sz val="14"/>
        <rFont val="Times New Roman"/>
        <family val="1"/>
      </rPr>
      <t>3</t>
    </r>
  </si>
  <si>
    <t>Áp giá tại phần C, STT 48, Quyết định số 08/2026/QĐ-UBND ngày 22/01/2026 của UBND tỉnh Khánh Hòa, đơn giá: 3.096.280 đ/md.</t>
  </si>
  <si>
    <t>Áp giá tại phần C, STT 38, Quyết định số 08/2026/QĐ-UBND ngày 22/01/2026 của UBND tỉnh Khánh Hòa, đơn giá: 1.501.750đ/md.</t>
  </si>
  <si>
    <t xml:space="preserve">- Hàng rào lưới B40, trụ BTCT cao 1,5m dài 26,5m </t>
  </si>
  <si>
    <t xml:space="preserve">- Chuối loại C: 03 cây </t>
  </si>
  <si>
    <t>- Đu đủ loại 1 năm: 04 cây</t>
  </si>
  <si>
    <t>- Chanh loại A: 01 cây</t>
  </si>
  <si>
    <t>- Khế loại 3 năm: 01 cây</t>
  </si>
  <si>
    <t>- Lưu loại 3 năm: 01 cây</t>
  </si>
  <si>
    <t>- Mãng cầu loại A: 01 cây</t>
  </si>
  <si>
    <t>- Me loại 3 năm: 01 cây</t>
  </si>
  <si>
    <t>- Cóc loại 3 năm: 02 cây</t>
  </si>
  <si>
    <t>Thái Thông, phường Nam Nha Trang, tỉnh Khánh Hòa</t>
  </si>
  <si>
    <r>
      <rPr>
        <b/>
        <sz val="14"/>
        <rFont val="Times New Roman"/>
        <family val="1"/>
      </rPr>
      <t>- Địa chỉ giải tỏa:</t>
    </r>
  </si>
  <si>
    <t xml:space="preserve"> - Diện tích (thửa số 123 - tờ BĐ số 10 - 353599-1)</t>
  </si>
  <si>
    <t>CCCD số 056082006732 do Cục QLHC về TTXH cấp ngày 06/12/2021 cho ông Nguyễn Thanh Minh</t>
  </si>
  <si>
    <r>
      <t>- Hồ cá xây gạch 100: cao 0,3m, rộng 0,65m, dài 6,6m 
DT: (6,6m x 0,65m x 0,3m) = 1,287m</t>
    </r>
    <r>
      <rPr>
        <vertAlign val="superscript"/>
        <sz val="14"/>
        <rFont val="Times New Roman"/>
        <family val="1"/>
      </rPr>
      <t>3</t>
    </r>
  </si>
  <si>
    <r>
      <t xml:space="preserve"> - Kết cấu nhà sau giải tỏa không đảm bảo tiêu chuẩn kỹ thuật, không đảm bảo công năng sử dụng theo qui định tại Mục I.10 - Văn bản số 02093/SXD-KTVLXD ngày 05/3/2026 v/v hướng dẫn triển khai thực hiện các Quyết định số: 12/2026/QĐ-UBND ngày 24/2/2026 và  08/2026/QĐ-UBND ngày 20/01/2026 của UBND tỉnh Khánh Hòa  
 </t>
    </r>
    <r>
      <rPr>
        <sz val="14"/>
        <rFont val="Times New Roman"/>
        <family val="1"/>
      </rPr>
      <t xml:space="preserve">-  Vỉ vậy được bồi thường toàn bộ nhà  </t>
    </r>
    <r>
      <rPr>
        <i/>
        <sz val="14"/>
        <rFont val="Times New Roman"/>
        <family val="1"/>
      </rPr>
      <t xml:space="preserve">
 </t>
    </r>
    <r>
      <rPr>
        <sz val="14"/>
        <rFont val="Times New Roman"/>
        <family val="1"/>
      </rPr>
      <t xml:space="preserve">DT: </t>
    </r>
    <r>
      <rPr>
        <b/>
        <sz val="14"/>
        <rFont val="Times New Roman"/>
        <family val="1"/>
      </rPr>
      <t xml:space="preserve"> 33,7m².</t>
    </r>
  </si>
  <si>
    <r>
      <t>- Men ốp nhà vệ sinh (3,6m + 1,8m) x 1,2m = 6,48m</t>
    </r>
    <r>
      <rPr>
        <vertAlign val="superscript"/>
        <sz val="14"/>
        <rFont val="Times New Roman"/>
        <family val="1"/>
      </rPr>
      <t>2</t>
    </r>
  </si>
  <si>
    <t>Áp đơn giá tại phụ lục phần C,  STT 03, Quyết định số 08/2026/QĐ-UBND ngày 22/01/2026 của UBND tỉnh Khánh Hòa, đơn giá: 741.439 đ/m². Giảm 8,5 % do nền đất (theo Mục I, STT 12 văn bản số 2093/SXD-KTVLXD ngày 05/3/2026 của Sở xây dựng)
741.439đ/m²xd - (741.439đ/m² x 8,5%) = 678.417đ/m²xd</t>
  </si>
  <si>
    <t xml:space="preserve"> Áp đơn giá tại phần C,  STT 03, Quyết định số 08/2026/QĐ-UBND ngày 22/01/2026 của UBND tỉnh Khánh Hòa, đơn giá: 741.439 đ/m²xd</t>
  </si>
  <si>
    <r>
      <t xml:space="preserve">2 - Tài sản khác: </t>
    </r>
    <r>
      <rPr>
        <sz val="14"/>
        <rFont val="Times New Roman"/>
        <family val="1"/>
      </rPr>
      <t>không</t>
    </r>
  </si>
  <si>
    <r>
      <t>- Tắc loại A: 01 cây</t>
    </r>
    <r>
      <rPr>
        <i/>
        <sz val="14"/>
        <rFont val="Times New Roman"/>
        <family val="1"/>
      </rPr>
      <t xml:space="preserve"> - Áp giá tương đương Chanh loại A - Phụ lục II.7. ĐG: 750.000</t>
    </r>
  </si>
  <si>
    <r>
      <t xml:space="preserve">- Bạch đàn năm thứ 04: 20 cây </t>
    </r>
    <r>
      <rPr>
        <i/>
        <sz val="14"/>
        <rFont val="Times New Roman"/>
        <family val="1"/>
      </rPr>
      <t>- Áp giá tương đương bạch đàn năm thứ 3</t>
    </r>
  </si>
  <si>
    <r>
      <t xml:space="preserve">- Vạn tuế loại A: 04 cây </t>
    </r>
    <r>
      <rPr>
        <i/>
        <sz val="14"/>
        <rFont val="Times New Roman"/>
        <family val="1"/>
      </rPr>
      <t>-  Áp giá tương đương cây cau STT II.8. ĐG: 280.000đồng</t>
    </r>
  </si>
  <si>
    <t>123/10-353599-1</t>
  </si>
  <si>
    <t>CCCD số 056082000487 do Cục QLHC về TTXH cấp ngày 07/08/2023 cho ông Lương Văn Quang</t>
  </si>
  <si>
    <t>1. Bồi thường về đất:</t>
  </si>
  <si>
    <t>Tổ dân phố Vĩnh Xuân, phường Nam Nha Trang, tỉnh Khánh Hòa.</t>
  </si>
  <si>
    <r>
      <t xml:space="preserve">* Căn cứ pháp lý áp dụng:
- Biên bản kiểm kê khối lượng giải tỏa: </t>
    </r>
    <r>
      <rPr>
        <sz val="14"/>
        <rFont val="Times New Roman"/>
        <family val="1"/>
      </rPr>
      <t>ngày</t>
    </r>
    <r>
      <rPr>
        <b/>
        <sz val="14"/>
        <rFont val="Times New Roman"/>
        <family val="1"/>
      </rPr>
      <t xml:space="preserve"> 15/6</t>
    </r>
    <r>
      <rPr>
        <sz val="14"/>
        <rFont val="Times New Roman"/>
        <family val="1"/>
      </rPr>
      <t>/2026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Quyết định số 32/2026/QĐ-UBND ngày 29/4/2026 của UBND tỉnh Khánh Hòa Quy định một số biện pháp hỗ trợ khác khi Nhà nước thu hồi đất trên địa bàn tỉnh Khánh Hòa.
- Quyết định số 12/2026/QĐ-UBND ngày 24/2/2026 của UBND tỉnh Khánh Hòa Quy định đơn giá bồi thường, hỗ trợ một số chi phí khi Nhà nước thu hồi đất trên địa bàn tỉnh Khánh Hòa.</t>
    </r>
  </si>
  <si>
    <t>- Hàng rào lưới B40, trụ BTCT cao 1,5m, móng xây đá chẻ 2 lớp, dài 15md.</t>
  </si>
  <si>
    <t>md</t>
  </si>
  <si>
    <t>- Mái che cột kèo sắt, mái lợp tole, nền đất. DT: (3,5m x 2,8m)</t>
  </si>
  <si>
    <t>Áp đơn giá tại phụ lục STT A.55, Quyết định số 12/2026/QĐ-UBND ngày 24/02/2026 của UBND tỉnh Khánh Hòa, đơn giá: 682.738 đ/m².</t>
  </si>
  <si>
    <t>Chuối loại 01 năm</t>
  </si>
  <si>
    <t xml:space="preserve"> Khế loại 4 năm</t>
  </si>
  <si>
    <t>Cóc loại C</t>
  </si>
  <si>
    <t>Mận loại B</t>
  </si>
  <si>
    <t>Mít loại C</t>
  </si>
  <si>
    <t>Trứng cá loại C. (Áp giá chùm ruột)</t>
  </si>
  <si>
    <t>Sake loại B</t>
  </si>
  <si>
    <t>Dừa xiêm loại 1 năm</t>
  </si>
  <si>
    <t>Xoài ghép loại C</t>
  </si>
  <si>
    <t>Bưởi loại 1 năm</t>
  </si>
  <si>
    <t>Sơ ri loại B</t>
  </si>
  <si>
    <t xml:space="preserve"> - Diện tích (thửa số 95 - tờ BĐ số 10 - 353599-1)</t>
  </si>
  <si>
    <t>- Nhà 01 tầng, móng xây 02 lớp đá chẻ, mái lợp tole, tường xây gạch 100, tường sơn nước, trần thạch cao, nền gạch men, cửa gỗ + kính, có hệ vệ sinh trong nhà (có hầm tự hoại)
DT: 33,7m²
DTGT: 23,1m²
DTCL: 10,6m²</t>
  </si>
  <si>
    <t>Áp giá tại STT 1, mục A, PLI Quyết định số 08/2026/QĐ-UBND ngày 22/01/2026 của UBND tỉnh Khánh Hòa, đơn giá: 3.751.000đ/m²XD. Đơn giá nhân hệ số điều chỉnh 1,12 vì tường sơn nước (theo Mục I, STT 1 văn bản số 2093/SXD-KTVLXD ngày 05/3/2026 của Sở Xây dựng). Cộng  thêm 481.600đ/m² vì nền gạch men (STT 37 mục A, Phụ lục I, Quyết định số 12/QĐ-UBND ngày 24/02/2026 (Áp theo Mục I, STT 03 văn bản số 2093/SXD-KTVLXD ngày 05/3/2026 của Sở Xây dựng). Tăng 8,5% vì ường thạch cao (Áp theo Mục I, STT 12 văn bản số 2093/SXD-KTVLXD ngày 05/3/2026 của Sở Xây dựng)
[(3.751.000 đ/m²XD  x 1,12) +  481.600đ/m² + (3.751.000 đ/m²XD x 8,5%)] = 5.001.555đ/m²XD</t>
  </si>
  <si>
    <t xml:space="preserve"> + Hàng rào lưới B40, trụ BTCT cao 1,5m, dài 15m.</t>
  </si>
  <si>
    <t>Áp đơn giá tại phụ lục STT C.12 Quyết định số 08/2026/QĐ-UBND ngày 22/01/2026 của UBND tỉnh Khánh Hòa, đơn giá: 537.955đ/md.</t>
  </si>
  <si>
    <t xml:space="preserve"> - Đã hỗ trợ khen thưởng tại Thửa 94 - tờ BĐ số 10-353599-1</t>
  </si>
  <si>
    <r>
      <t>Sao đen năm thứ 6</t>
    </r>
    <r>
      <rPr>
        <i/>
        <sz val="14"/>
        <rFont val="Times New Roman"/>
        <family val="1"/>
      </rPr>
      <t xml:space="preserve"> -  Áp giá tương đương Sao đen năm thứ 5. ĐG: 161.000 đồng</t>
    </r>
  </si>
  <si>
    <t>Bạch đàn năm thứ 4  -  Áp giá tương đương Bạch đàn năm thứ 3. ĐG: 53.000 đồng</t>
  </si>
  <si>
    <r>
      <t>Siro</t>
    </r>
    <r>
      <rPr>
        <i/>
        <sz val="14"/>
        <rFont val="Times New Roman"/>
        <family val="1"/>
      </rPr>
      <t xml:space="preserve"> - Áp giá tương đương Sơ ri. ĐG: 353.000đồng</t>
    </r>
  </si>
  <si>
    <t>Hộ ông Đồng Đức Sang</t>
  </si>
  <si>
    <t>CCCD số 031082018494 do Cục QLHC về TTXH cấp ngày 13/3/2022 cho ông Đồng Đức Sang</t>
  </si>
  <si>
    <t xml:space="preserve"> - Diện tích (thửa số 265 - tờ BĐ số 353599-1)</t>
  </si>
  <si>
    <r>
      <t xml:space="preserve">- Địa chỉ thường trú:
</t>
    </r>
    <r>
      <rPr>
        <sz val="14"/>
        <rFont val="Times New Roman"/>
        <family val="1"/>
      </rPr>
      <t>11 Tản Viên, phường Nha Trang, tỉnh Khánh Hòa.</t>
    </r>
    <r>
      <rPr>
        <b/>
        <sz val="14"/>
        <rFont val="Times New Roman"/>
        <family val="1"/>
      </rPr>
      <t xml:space="preserve">
</t>
    </r>
  </si>
  <si>
    <r>
      <rPr>
        <b/>
        <i/>
        <sz val="14"/>
        <rFont val="Times New Roman"/>
        <family val="1"/>
      </rPr>
      <t xml:space="preserve"> ** Căn cứ pháp lý áp dụng:</t>
    </r>
    <r>
      <rPr>
        <i/>
        <sz val="14"/>
        <rFont val="Times New Roman"/>
        <family val="1"/>
      </rPr>
      <t xml:space="preserve">
- Khoản 2, Điều 101 Luật Đất đai năm 2024: "Trường hợp không được bồi thường về đất khi Nhà nước thu hồi đất: Đất do cơ quan, tổ chức Nhà nước quản lý quy định tại Điều 217 Luật đất đai" .
- Điểm b, Khoản 1 Điều 217, Luật đất đai năm 2024: "Đât do cơ quan, tổ chức Nhà nước quản lý là đất chưa giao, chưa cho thuê, hoặc đã được giao đất để quản lý, bao gồm: Đất sông, ngòi, kênh, rạch, suối, ao, hồ, đầm, phá</t>
    </r>
  </si>
  <si>
    <r>
      <t xml:space="preserve">- Diện tích đất không bồi thường: </t>
    </r>
    <r>
      <rPr>
        <sz val="14"/>
        <color theme="1"/>
        <rFont val="Times New Roman"/>
        <family val="1"/>
      </rPr>
      <t>100m²</t>
    </r>
  </si>
  <si>
    <t xml:space="preserve"> Không bồi thường vì: Vị trí thửa đất thu hồi nằm trong Danh sách Kết luận thanh tra thuộc Danh sách các loại đất khác do Nhà nước quản lý theo Sổ mục kê năm 2002</t>
  </si>
  <si>
    <r>
      <t xml:space="preserve">1- Công trình, vật kiến trúc: </t>
    </r>
    <r>
      <rPr>
        <sz val="14"/>
        <rFont val="Times New Roman"/>
        <family val="1"/>
      </rPr>
      <t>Không</t>
    </r>
  </si>
  <si>
    <r>
      <t>3 - Cây trồng:</t>
    </r>
    <r>
      <rPr>
        <sz val="14"/>
        <rFont val="Times New Roman"/>
        <family val="1"/>
      </rPr>
      <t xml:space="preserve"> Không</t>
    </r>
  </si>
  <si>
    <t>IV/ Chính sách hỗ trợ (1+2+3)</t>
  </si>
  <si>
    <t>Hộ gia đình không trực tiếp sản xuất nông nghiệp tại vị trí thửa đất giải tỏa; không được bồi thường về đất nên không được hỗ trợ theo quy định tại Khoản 1, khoản 2 Điều 22 NĐ số 88/2024-NĐ-CP ngày 15/7/2024 và Điều 9, QĐ số 32/2026/QĐ-UBND ngày 29/4/2026 của UBND tỉnh Khánh Hòa</t>
  </si>
  <si>
    <t>Hộ gia đình không được bồi thường về đất, thực tế không tham gia sản xuất nông nghiêp trên đất thu hồi  nên không được hỗ trợ theo quy định tại Điều 19 NĐ số 88/2024-NĐ-CP ngày 15/7/2024 và Khoản 1, Điều 6, QĐ số 32/2026/QĐ-UBND ngày 29/4/2026 của UBND tỉnh Khánh Hòa</t>
  </si>
  <si>
    <r>
      <t xml:space="preserve">3. Hỗ trợ kinh phí chỉnh lý biến động: </t>
    </r>
    <r>
      <rPr>
        <sz val="14"/>
        <rFont val="Times New Roman"/>
        <family val="1"/>
      </rPr>
      <t>không</t>
    </r>
  </si>
  <si>
    <t>* Tổng số tiền bồi thường, hỗ trợ (I+II+III+IV)</t>
  </si>
  <si>
    <t>Đã hỗ trợ khen thưởng tại thửa đất số 214</t>
  </si>
  <si>
    <t xml:space="preserve"> - Khoản 2, Điều 15 QĐ số 32/2026/QĐ-UBND ngày 29/4/2026 của UBND tỉnh Khánh Hòa;</t>
  </si>
  <si>
    <t xml:space="preserve"> - Diện tích (thửa số 272 - tờ BĐ số 353599-1)</t>
  </si>
  <si>
    <r>
      <t xml:space="preserve">V/ Hỗ trợ khen thưởng: </t>
    </r>
    <r>
      <rPr>
        <sz val="14"/>
        <rFont val="Times New Roman"/>
        <family val="1"/>
      </rPr>
      <t>Không</t>
    </r>
  </si>
  <si>
    <t>CCCD số 056088005080 do Cục QLHC về TTXH cấp ngày 04/8/2022 cho ông Lê Anh Tuấn</t>
  </si>
  <si>
    <t xml:space="preserve"> - Diện tích (thửa số 96 - tờ BĐ số 353599-1)</t>
  </si>
  <si>
    <r>
      <t xml:space="preserve"> - Địa chỉ thường trú:
</t>
    </r>
    <r>
      <rPr>
        <sz val="14"/>
        <rFont val="Times New Roman"/>
        <family val="1"/>
      </rPr>
      <t>16/9 Tân An, Ph. Nam Nha Trang, tỉnh Khánh Hòa.</t>
    </r>
    <r>
      <rPr>
        <b/>
        <sz val="14"/>
        <rFont val="Times New Roman"/>
        <family val="1"/>
      </rPr>
      <t xml:space="preserve">
</t>
    </r>
  </si>
  <si>
    <r>
      <t xml:space="preserve">- Diện tích đất không bồi thường: </t>
    </r>
    <r>
      <rPr>
        <sz val="14"/>
        <color theme="1"/>
        <rFont val="Times New Roman"/>
        <family val="1"/>
      </rPr>
      <t>200,0m²</t>
    </r>
  </si>
  <si>
    <r>
      <t>m</t>
    </r>
    <r>
      <rPr>
        <vertAlign val="superscript"/>
        <sz val="14"/>
        <rFont val="Times New Roman"/>
        <family val="1"/>
      </rPr>
      <t>2</t>
    </r>
    <r>
      <rPr>
        <sz val="14"/>
        <rFont val="Times New Roman"/>
        <family val="1"/>
      </rPr>
      <t>XD</t>
    </r>
  </si>
  <si>
    <r>
      <t xml:space="preserve">Áp giá tại STT A16, PLI Quyết định số 08/2026/QĐ-UBND ngày 22/01/2026 của UBND tỉnh Khánh Hòa, đơn giá: 2.401.296 đ/m²XD. Đon giá điều chỉnh tăng 15% vì cột kèo sắt,nền xi măng, của tole (theo Mục I, STT 12 văn bản số 2093/SXD-KTVLXD ngày 05/3/2026 của Sở Xây dựng)
</t>
    </r>
    <r>
      <rPr>
        <sz val="14"/>
        <color theme="1"/>
        <rFont val="Times New Roman"/>
        <family val="1"/>
      </rPr>
      <t>2.401.296 đ/m²XD  +  (2.401.296 đ/m² x 15%) = 2.761.490đ/m²XD</t>
    </r>
  </si>
  <si>
    <t>- Cổng: khung sắt kết hợp tôn, cao 1,5m, ngang 1,6m.</t>
  </si>
  <si>
    <r>
      <t xml:space="preserve">Áp giá tại phần C, STT 13, QĐ số 08/2026/QĐ-UBND ngày 22/01/2026 của UBND tỉnh Khánh Hòa, đơn giá: 3.855.960đ/m. </t>
    </r>
    <r>
      <rPr>
        <b/>
        <i/>
        <sz val="14"/>
        <rFont val="Times New Roman"/>
        <family val="1"/>
      </rPr>
      <t>Giảm 15 %</t>
    </r>
    <r>
      <rPr>
        <i/>
        <sz val="14"/>
        <rFont val="Times New Roman"/>
        <family val="1"/>
      </rPr>
      <t xml:space="preserve"> do cổng khung sắt kết hợp tôn (theo Mục I, STT 12 văn bản số 2093/SXD-KTVLXD ngày 05/3/2026 của Sở xây dựng)
</t>
    </r>
    <r>
      <rPr>
        <sz val="14"/>
        <rFont val="Times New Roman"/>
        <family val="1"/>
      </rPr>
      <t>3.855.960đ/md - (3.855.960 đ/md x 15%) = 3.277.566đ/md</t>
    </r>
  </si>
  <si>
    <t>- Hàng rào lưới B40, trụ BTCT cao 1,5m dài 8,5m, không móng</t>
  </si>
  <si>
    <t>Áp giá tại phần C, STT11, QĐ số 08/2026/QĐ-UBND ngày 22/01/2026 của UBND tỉnh Khánh Hòa. Đơn giá: 537.955 đ/md. Đơn giá giảm 15% vì không móng (theo Mục I, STT 12 văn bản số 2093/SXD-KTVLXD ngày 05/3/2026 của Sở Xây dựng)
537.955đ/md - (537.955đ/md x 15%) = 457.262đ/md</t>
  </si>
  <si>
    <t>- Hàng rào kẽm gai (3 dây), trụ BTCT cao 1,5m dài 20m</t>
  </si>
  <si>
    <t>Áp giá tại phần C, STT12.1, QĐ số 08/2026/QĐ-UBND ngày 22/01/2026 của UBND tỉnh Khánh Hòa. Đơn giá: 366.132 đ/md. Đơn giá giảm 15% vì không móng (theo Mục I, STT 12 văn bản số 2093/SXD-KTVLXD ngày 05/3/2026 của Sở Xây dựng)
366.132đ/md - (366.132đ/md x 15%) = 311.212đ/md</t>
  </si>
  <si>
    <r>
      <t xml:space="preserve">- Trứng cá loại A: 02 cây
  </t>
    </r>
    <r>
      <rPr>
        <i/>
        <sz val="14"/>
        <rFont val="Times New Roman"/>
        <family val="1"/>
      </rPr>
      <t xml:space="preserve">(áp giá tương đương dâu tằm loại A - PLI1 - STT 13, ĐG: 168.000đ/cây) </t>
    </r>
  </si>
  <si>
    <r>
      <t xml:space="preserve">1. Hỗ trợ đào tạo, chuyển đổi nghề và tìm kiếm việc làm: </t>
    </r>
    <r>
      <rPr>
        <i/>
        <sz val="14"/>
        <rFont val="Times New Roman"/>
        <family val="1"/>
      </rPr>
      <t>(Hộ ông Lê Anh Tuấn không trực tiếp sản xuất nông nghiệp tại vị trí thửa đất giải tỏa)</t>
    </r>
    <r>
      <rPr>
        <b/>
        <sz val="14"/>
        <rFont val="Times New Roman"/>
        <family val="1"/>
      </rPr>
      <t/>
    </r>
  </si>
  <si>
    <r>
      <t xml:space="preserve">2. Hỗ trợ ổn định đời sống: </t>
    </r>
    <r>
      <rPr>
        <i/>
        <sz val="14"/>
        <rFont val="Times New Roman"/>
        <family val="1"/>
      </rPr>
      <t xml:space="preserve">(Hộ ông Lê Anh Tuấn thực tế không tham gia sản xuất nông nghiêp trên đất thu hồi) </t>
    </r>
  </si>
  <si>
    <t xml:space="preserve"> Trường hợp thu hồi đất không thuộc các dự án quy định tại khoản 7 Điều 111 Luật Đất đai, bàn giao mặt bằng trước thời hạn quy định thì được khen thưởng 10% tổng giá trị bồi thường, hỗ trợ. Mức khen thưởng tối đa không vượt quá 8.000.000 (tám triệu) đồng /trường hợp; Trường hợp số tiền khen thưởng thấp hơn 1.000.000 (một triệu) đồng thì được khen thưởng là 1.000.000 (một triệu) đồng / trường hợp. </t>
  </si>
  <si>
    <t xml:space="preserve"> - Diện tích (thửa số 97 - tờ BĐ số 353599-1)</t>
  </si>
  <si>
    <r>
      <t xml:space="preserve">- Diện tích đất không bồi thường: </t>
    </r>
    <r>
      <rPr>
        <sz val="14"/>
        <color theme="1"/>
        <rFont val="Times New Roman"/>
        <family val="1"/>
      </rPr>
      <t>200,6m²</t>
    </r>
  </si>
  <si>
    <t>3 - Cây trồng</t>
  </si>
  <si>
    <r>
      <t xml:space="preserve"> - Keo năm thứ 04: 01 cây - </t>
    </r>
    <r>
      <rPr>
        <i/>
        <sz val="14"/>
        <rFont val="Times New Roman"/>
        <family val="1"/>
      </rPr>
      <t>Áp giá keo lai năm thứ 3 - PLIII - STT 5.3. Đơn giá 48.000đ/cây</t>
    </r>
  </si>
  <si>
    <r>
      <t xml:space="preserve">- Bạch đàn năm thứ 04: 01 cây - </t>
    </r>
    <r>
      <rPr>
        <i/>
        <sz val="14"/>
        <rFont val="Times New Roman"/>
        <family val="1"/>
      </rPr>
      <t>Áp giá Bạch đàn năm thứ 3 - PLIII - STT 3.3. Đơn giá 53.000đ/cây</t>
    </r>
  </si>
  <si>
    <t>Đã hỗ trợ khen thưởng tại thửa đất số 96</t>
  </si>
  <si>
    <t xml:space="preserve"> - Diện tích (thửa số 262 - tờ BĐ số 353599-1)</t>
  </si>
  <si>
    <r>
      <t xml:space="preserve">- Diện tích đất không bồi thường: </t>
    </r>
    <r>
      <rPr>
        <sz val="14"/>
        <color theme="1"/>
        <rFont val="Times New Roman"/>
        <family val="1"/>
      </rPr>
      <t>900,0m²</t>
    </r>
  </si>
  <si>
    <r>
      <t xml:space="preserve">- Bạch đàn năm thứ 04: 06 cây - </t>
    </r>
    <r>
      <rPr>
        <i/>
        <sz val="14"/>
        <rFont val="Times New Roman"/>
        <family val="1"/>
      </rPr>
      <t>Áp giá Bạch đàn năm thứ 3 - PLIII - STT 3.3. Đơn giá 53.000đ/cây</t>
    </r>
  </si>
  <si>
    <r>
      <t xml:space="preserve"> - Keo năm thứ 04: 02 cây - </t>
    </r>
    <r>
      <rPr>
        <i/>
        <sz val="14"/>
        <rFont val="Times New Roman"/>
        <family val="1"/>
      </rPr>
      <t>Áp giá keo lai năm thứ 3 - PLIII - STT 5.3. Đơn giá 48.000đ/cây</t>
    </r>
  </si>
  <si>
    <t xml:space="preserve"> - Diện tích (thửa số 288 - tờ BĐ số 353599-1)</t>
  </si>
  <si>
    <r>
      <t xml:space="preserve"> - Địa chỉ thường trú:</t>
    </r>
    <r>
      <rPr>
        <sz val="14"/>
        <rFont val="Times New Roman"/>
        <family val="1"/>
      </rPr>
      <t/>
    </r>
  </si>
  <si>
    <r>
      <rPr>
        <sz val="14"/>
        <rFont val="Times New Roman"/>
        <family val="1"/>
      </rPr>
      <t>16/9 Tân An, Ph. Nam Nha Trang, tỉnh Khánh Hòa.</t>
    </r>
    <r>
      <rPr>
        <b/>
        <sz val="14"/>
        <rFont val="Times New Roman"/>
        <family val="1"/>
      </rPr>
      <t xml:space="preserve">
</t>
    </r>
  </si>
  <si>
    <r>
      <t xml:space="preserve">- Diện tích đất không bồi thường: </t>
    </r>
    <r>
      <rPr>
        <sz val="14"/>
        <color theme="1"/>
        <rFont val="Times New Roman"/>
        <family val="1"/>
      </rPr>
      <t>300,4m²</t>
    </r>
  </si>
  <si>
    <r>
      <t xml:space="preserve">- Bạch đàn năm thứ 04: 20 cây - </t>
    </r>
    <r>
      <rPr>
        <i/>
        <sz val="14"/>
        <rFont val="Times New Roman"/>
        <family val="1"/>
      </rPr>
      <t>Áp giá Bạch đàn năm thứ 3 - PLIII - STT 3.3. Đơn giá 53.000đ/cây</t>
    </r>
  </si>
  <si>
    <r>
      <t xml:space="preserve"> - Keo năm thứ 04: 03 cây - </t>
    </r>
    <r>
      <rPr>
        <i/>
        <sz val="14"/>
        <rFont val="Times New Roman"/>
        <family val="1"/>
      </rPr>
      <t>Áp giá keo lai năm thứ 3 - PLIII - STT 5.3. Đơn giá 48.000đ/cây</t>
    </r>
  </si>
  <si>
    <t xml:space="preserve"> - Diện tích (thửa số 290 - tờ BĐ số 353599-1)</t>
  </si>
  <si>
    <r>
      <t xml:space="preserve">- Địa chỉ thường trú:
</t>
    </r>
    <r>
      <rPr>
        <sz val="14"/>
        <rFont val="Times New Roman"/>
        <family val="1"/>
      </rPr>
      <t>16/9 Tân An, Ph. Nam Nha Trang, tỉnh Khánh Hòa.</t>
    </r>
    <r>
      <rPr>
        <b/>
        <sz val="14"/>
        <rFont val="Times New Roman"/>
        <family val="1"/>
      </rPr>
      <t xml:space="preserve">
</t>
    </r>
  </si>
  <si>
    <r>
      <t xml:space="preserve">- Diện tích đất không bồi thường: </t>
    </r>
    <r>
      <rPr>
        <sz val="14"/>
        <color theme="1"/>
        <rFont val="Times New Roman"/>
        <family val="1"/>
      </rPr>
      <t>400,0m²</t>
    </r>
  </si>
  <si>
    <r>
      <t xml:space="preserve">- Bạch đàn năm thứ 04: 02 cây - </t>
    </r>
    <r>
      <rPr>
        <i/>
        <sz val="14"/>
        <rFont val="Times New Roman"/>
        <family val="1"/>
      </rPr>
      <t>Áp giá Bạch đàn năm thứ 3 - PLIII - STT 3.3. Đơn giá 53.000đ/cây</t>
    </r>
  </si>
  <si>
    <t>Hộ ông Lê Anh Tuấn</t>
  </si>
  <si>
    <t>95/10-353599-1</t>
  </si>
  <si>
    <t>265/10-353599-1</t>
  </si>
  <si>
    <t xml:space="preserve"> - Diện tích (thửa số 214 - tờ BĐ số 353599-1)</t>
  </si>
  <si>
    <t>1. Bồi thường về đất</t>
  </si>
  <si>
    <t>IV/ Chính sách hỗ trợ (1+2)</t>
  </si>
  <si>
    <t>214/10-353599-1</t>
  </si>
  <si>
    <t>272/10-353599-1</t>
  </si>
  <si>
    <t>96/10-353599-1</t>
  </si>
  <si>
    <t>- Bồ đề loại A: 02 cây (áp giá tương đương cây Bồ Quân PL2 - STT 3, ĐG: 228.000đ/m²)</t>
  </si>
  <si>
    <t>- Trứng cá loại A: 02 cây (áp giá tương đương cây dâu tằm PL2 - STT 13, ĐG: 168.000đ/m²)</t>
  </si>
  <si>
    <t>97/10-353599-1</t>
  </si>
  <si>
    <t>262/10-353599-1</t>
  </si>
  <si>
    <t>288/10-353599-1</t>
  </si>
  <si>
    <t>290/10-353599-1</t>
  </si>
  <si>
    <t>19 trường hợp / 19 thửa</t>
  </si>
  <si>
    <t>Phạm Thị Kiều My</t>
  </si>
  <si>
    <t>Hộ ông Lương Văn Quang</t>
  </si>
  <si>
    <t>CCCD số 056082000487 do Cục QLHC về TTXH cấp ngày 07/08/2021 cho ông Lương Văn Quang</t>
  </si>
  <si>
    <t xml:space="preserve"> - Diện tích (thửa số 94 - tờ BĐ số 353599-1- Tờ 10)</t>
  </si>
  <si>
    <t>- Nhà 1 tầng, móng xây đá chẻ 03-07 lớp cao 0,6m-1,4m (theo ý kiến hộ dân), tường xây gạch dày 100 cao 4,2m, tường sơn nước, tường quanh nhà được bao phủ 01 lớp tole, không ốp men vệ sinh, nền láng gạch đá mài, cửa khung sắt+ tole, trần nhựa, mái tole, có hệ vệ sinh hoàn chỉnh, hệ thống điện nước, trong đó:</t>
  </si>
  <si>
    <t xml:space="preserve"> + Nhà 1 tầng, móng xây đá chẻ 3 lớp
DTXD = DTGT = (4,8m x 5,2m) = 24,96m²</t>
  </si>
  <si>
    <t>Áp đơn giá tại phụ lục STT A.2.1, Quyết định số 08/2026/QĐ-UBND ngày 22/01/2026 của UBND tỉnh Khánh Hòa, đơn giá: 3.958.967đ/m² XD. Đơn giá điều chỉnh với hệ số 1,12 vì tường sơn nước; Tăng 15% vì nền lát gạch đá mài, có trần nhựa, hệ vệ sinh hoàn chỉnh  (theo quy định tại VB số 2093/SXD-KTVLXD - mục I.2; I.12). Đơn giá: ((3.958.967đ/m2 XD x 1,12) + (3.958.967đ/m2 XD x 15%)) = 5.027.888đ/m²XD</t>
  </si>
  <si>
    <t xml:space="preserve">+ Móng xây đá chẻ 1 lớp.
 Khối lượng: (0,2m x 4,8m x 5,2m) = 4,992m³ </t>
  </si>
  <si>
    <r>
      <t>Áp đơn giá tại phụ lục STT C.48, Quyết định số 08/2026/QĐ-UBND ngày 22/01/2026 của UBND tỉnh Khánh Hòa, đơn giá: 3.096.280đ/m</t>
    </r>
    <r>
      <rPr>
        <i/>
        <vertAlign val="superscript"/>
        <sz val="14"/>
        <rFont val="Times New Roman"/>
        <family val="1"/>
      </rPr>
      <t>3.</t>
    </r>
  </si>
  <si>
    <t xml:space="preserve"> '+ Nhà 1 tầng, móng xây đá chẻ 7 lớp
DTXD = DTGT = (4,8m x 8,3m)= 39,84m²</t>
  </si>
  <si>
    <t>Áp đơn giá tại phụ lục STT A.2.1, Quyết định số 08/2026/QĐ-UBND ngày 22/01/2026 của UBND tỉnh Khánh Hòa, đơn giá: 3.958.967đ/m² XD. Đơn giá điều chỉnh với hệ số 1,12 vì tường sơn nước; Tăng 15% vì nền lát gạch đá mài, có trần nhựa, hệ vệ sinh hoàn chỉnh  (theo quy định tại VB số 2093/SXD-KTVLXD - mục I.2; I.12).
 Đơn giá: ((3.958.967đ/m2 XD x 1,12) + (3.958.967đ/m2 XD x 15%)) = 5.027.888đ/m²XD</t>
  </si>
  <si>
    <t xml:space="preserve">+ Móng xây đá chẻ 5 lớp.
  Khối lượng: (1m x 4,8m x 8,3m) = 39,840m³ </t>
  </si>
  <si>
    <t>- Cổng trụ sắt, cánh thép tấm, thép hình dài 1,4m, cao 2,1m.</t>
  </si>
  <si>
    <t>Áp đơn giá tại phụ lục STT C.13, Quyết định số 08/2026/QĐ-UBND ngày 22/01/2026 của UBND tỉnh Khánh Hòa, đơn giá: 3.855.960đ/md.</t>
  </si>
  <si>
    <t>- Tường rào xây gạch 100 cao 0,8m, kết hợp khung sắt+ lưới lam cao 0,6m, móng xây đá chẻ 04 lớp (theo ý kiến hộ dân), dài 6,1md.</t>
  </si>
  <si>
    <t>Áp đơn giá tại phụ lục STT C.10.1, Quyết định số 08/2026/QĐ-UBND ngày 22/01/2026 của UBND tỉnh Khánh Hòa, đơn giá: 2.180.272đ/md.</t>
  </si>
  <si>
    <r>
      <t>- Mái che cột kèo sắt, mái lợp tole, nền đất. DT: (1,1m x 1,9m) = 2,09m</t>
    </r>
    <r>
      <rPr>
        <vertAlign val="superscript"/>
        <sz val="14"/>
        <rFont val="Times New Roman"/>
        <family val="1"/>
      </rPr>
      <t>2</t>
    </r>
  </si>
  <si>
    <r>
      <t>m</t>
    </r>
    <r>
      <rPr>
        <vertAlign val="superscript"/>
        <sz val="14"/>
        <rFont val="Times New Roman"/>
        <family val="1"/>
      </rPr>
      <t>2</t>
    </r>
  </si>
  <si>
    <t>Áp đơn giá tại phụ lục STT C.4, Quyết định số 08/2026/QĐ-UBND ngày 22/01/2026 của UBND tỉnh Khánh Hòa, đơn giá: 1.259.097đ/m². Đơn giá giảm 15% vì nền đất  (theo quy định tại VB số 2093/SXD-KTVLXD - mục I.12). 
 Đơn giá: (1.259.097đ/m² - (1.259.097đ/m² x 15%)) = 1.070.232đ/m²</t>
  </si>
  <si>
    <t xml:space="preserve"> '- Cổng trụ sắt, cánh thép tấm cao 1,2m, dài 0,95md.</t>
  </si>
  <si>
    <t>- Hàng rào lưới B40, trụ BTCT cao 1,5m, móng xây 01 lớp đá chẻ, dài 11,7md.</t>
  </si>
  <si>
    <t>Áp đơn giá tại phụ lục STT C.11,1, Quyết định số 08/2026/QĐ-UBND ngày 22/01/2026 của UBND tỉnh Khánh Hòa, đơn giá: 537.955đ/md.</t>
  </si>
  <si>
    <r>
      <rPr>
        <b/>
        <i/>
        <sz val="14"/>
        <rFont val="Times New Roman"/>
        <family val="1"/>
      </rPr>
      <t xml:space="preserve"> * Căn cứ pháp lý áp dụng:</t>
    </r>
    <r>
      <rPr>
        <i/>
        <sz val="14"/>
        <rFont val="Times New Roman"/>
        <family val="1"/>
      </rPr>
      <t xml:space="preserve">
- Quyết định số 35/2026/QĐ-UBND ngày 04/5/2026 của UBND tỉnh Khánh Hòa ban hành quy định đơn giá bồi thường thiệt hại đối với cây trồng, vật nuôi khi Nhà nước thu hồi đất trên địa bàn tỉnh Khánh Hòa;
- Văn bản số 9455/SNNMT-TTBVTV ngày 30/6/2026 của Sở Nông nghiệp và Môi trường V/v hướng dẫn áp dụng đơn giá bồi thường đối với cây trồng khi Nhà nước thu hồi đất theo QĐ số 35/2026/QĐ-UBND ngày 04/5/2026 của UBND tỉnh Khánh Hòa.</t>
    </r>
  </si>
  <si>
    <t>- Si rô loại: 01 cây - áp giá tương đương cây Sơ ri loại A - PL II STT32 - Đơn giá 353.000 đ/cây</t>
  </si>
  <si>
    <t>- Xoài hạt loại C: 01 cây - STT 3 - Đơn giá 4.933.000 đ/cây</t>
  </si>
  <si>
    <t>- Xoài hạt loại 5 năm: 02 cây: STT 3 - Đơn giá 1.375000 đ/cây</t>
  </si>
  <si>
    <t>- Bưởi loại C: 01 cây: PLII - STT 4 - Đơn giá 824.000 đ/cây</t>
  </si>
  <si>
    <t>- Hoa giấy 01 cây: áp giá tương đương cây Gòn loại A - PL II STT 19 - Đơn giá 125.000 đ/cây</t>
  </si>
  <si>
    <t>- Sao năm thứ 6: 02 cây:  Áp giá Sao đen năm thứ 5 - PLIII - STT 11.5. Đơn giá 161.000đ/cây</t>
  </si>
  <si>
    <t>- Bằng lăng 01 cây: áp giá tương đường cây Bồ quân loại A - PL II STT 3 - Đơn giá 228.000 đ/cây</t>
  </si>
  <si>
    <t>- Diện tích đất không bồi thường:</t>
  </si>
  <si>
    <t>94/10-353599-1</t>
  </si>
  <si>
    <t>đồng</t>
  </si>
  <si>
    <t>-  Nhà 1 tầng, móng xây đá chẻ 3 lớp cao 0,6m , tường xây gạch dày 100 cao 3m; tường sơn nước, cửa nhôm kính không trần, nền lát gạch men, có hệ vệ sinh; có hệ thống điện nước
DTXD = DTGT : ( 4,7m x 3,4m) + (3,6m x4,5m) = 32,18m²</t>
  </si>
  <si>
    <t>- Nhà 1 tầng, móng xây đá chẻ 4 lớp cao 0,8m , tường xây gạch dày 100 cao 3m; tường sơn nước, cửa nhôm kính, nền lát gạch men, trần nhựa mái tôn (phần bếp không trần mái tôn; nền xi măng) có hệ vệ sinh; có hệ thống điện nước
DTXD = DTGT : 5,2m x 5,8m = 30,16m²
DTXD = DTGT : 2,4m x 3,5m = 8,4 m²</t>
  </si>
  <si>
    <t>+Nhà 1 tầng, móng xây đá chẻ 4 lớp cao 0,8m , tường xây gạch dày 100 cao 3m; tường sơn nước, cửa nhôm kính, nền lát gạch men, trần nhựa mái tôn,có hệ vệ sinh; có hệ thống điện nước
'DTXD = DTGT : 5,2m x 5,8m = 30,16m²</t>
  </si>
  <si>
    <t>+ Phần bếp: Nhà 1 tầng, móng xây đá chẻ 4 lớp cao 0,8m , tường xây gạch dày 100 cao 3m; tường sơn nước,  không trần mái tôn; nền xi măng.
DTXD = DTGT : 2,4m x 3,5m = 8,4 m²</t>
  </si>
  <si>
    <r>
      <t>Áp đơn giá tại phụ lục STT A1, Quyết định số 08/2026/QĐ-UBND ngày 22/01/2026 của UBND tỉnh Khánh Hòa. Đơn giá: 3.751.000 đ/m². Đơn giá điều chỉnh với hệ số 1,12  vì tường sơn nước (theo Mục I, STT 2 văn bản số 2093/SXD-KTVLXD ngày 05/3/2026 của Sở Xây dựng). Tăng 8,5% vì 4 lớp đá chẻ  (theo Mục I, STT 12 văn bản số 2093/SXD-KTVLXD ngày 05/3/2026 của Sở Xây dựng).</t>
    </r>
    <r>
      <rPr>
        <sz val="14"/>
        <rFont val="Times New Roman"/>
        <family val="1"/>
      </rPr>
      <t xml:space="preserve"> 
3.751.000 đ/m²  x 1,12 + (3.751.000 đ/m² x 8.5%)  = 4.519.955 đ/m²</t>
    </r>
  </si>
  <si>
    <t>- Sân bêtong láng vữa xi măng 
 DT: (3,9m x 1,8m) + (8,2m x 1,9m) + (6m x 1,7m) = 32,8 m²</t>
  </si>
  <si>
    <r>
      <t xml:space="preserve">1. Hỗ trợ đào tạo, chuyển đổi nghề và tìm kiếm việc làm: </t>
    </r>
    <r>
      <rPr>
        <i/>
        <sz val="14"/>
        <rFont val="Times New Roman"/>
        <family val="1"/>
      </rPr>
      <t>(Hộ ông Nguyễn Trọng Phước Niê không trực tiếp sản xuất nông nghiệp trên đất)</t>
    </r>
  </si>
  <si>
    <r>
      <t>2. Hỗ trợ ổn định đời sống</t>
    </r>
    <r>
      <rPr>
        <i/>
        <sz val="14"/>
        <rFont val="Times New Roman"/>
        <family val="1"/>
      </rPr>
      <t xml:space="preserve"> (Hộ  ông Nguyễn Trọng Phước Niê  thực tế không canh tác nông nghiệp trên đất)</t>
    </r>
  </si>
  <si>
    <r>
      <t xml:space="preserve">1. Hỗ trợ đào tạo, chuyển đổi nghề và tìm kiếm việc làm: </t>
    </r>
    <r>
      <rPr>
        <i/>
        <sz val="14"/>
        <rFont val="Times New Roman"/>
        <family val="1"/>
      </rPr>
      <t>(Hộ bà Nguyễn Ngọc Như Ý không trực tiếp sản xuất nông nghiệp trên đất)</t>
    </r>
  </si>
  <si>
    <r>
      <t>2. Hỗ trợ ổn định đời sống</t>
    </r>
    <r>
      <rPr>
        <i/>
        <sz val="14"/>
        <rFont val="Times New Roman"/>
        <family val="1"/>
      </rPr>
      <t xml:space="preserve"> (Hộ  bà Nguyễn Ngọc Như Ý thực tế không canh tác nông nghiệp trên đất)</t>
    </r>
  </si>
  <si>
    <t>- Nhà 1 tầng, móng xây đá chẻ 5  lớp cao 1m , tường xây gạch dày 100-200 cao 3,3m; bổ trụ,  tường sơn nước, mặt tiền có sảnh sử dụng kết cấu BTCT , tường vệ sinh ốp gạch men cao 1,2m ; nền lát gạch men; cửa nhôm kính, trần thạch cao, mái tôn, có hệ vệ sinh; có hệ thống điện nước
DTXD = DTGT : ( 5,8m x 7,6m) + (2,4m x 7m) = 60,88m²</t>
  </si>
  <si>
    <r>
      <t xml:space="preserve">- Phát tài loại A  </t>
    </r>
    <r>
      <rPr>
        <i/>
        <sz val="14"/>
        <rFont val="Times New Roman"/>
        <family val="1"/>
      </rPr>
      <t xml:space="preserve">- Áp giá tương đương cây Chùm ngây PLII - STT 10, ĐG: 169.000đ/m² </t>
    </r>
  </si>
  <si>
    <r>
      <t>- Mai chiếu thủy</t>
    </r>
    <r>
      <rPr>
        <i/>
        <sz val="14"/>
        <rFont val="Times New Roman"/>
        <family val="1"/>
      </rPr>
      <t xml:space="preserve">  -  Áp giá tương đương cây dâu tằm STT II.13. ĐG: 168.000đồng</t>
    </r>
  </si>
  <si>
    <r>
      <t xml:space="preserve">- Bạch đàn năm thứ 11 </t>
    </r>
    <r>
      <rPr>
        <i/>
        <sz val="14"/>
        <rFont val="Times New Roman"/>
        <family val="1"/>
      </rPr>
      <t>-  Áp giá tương đương cây Bạch đàn năm thứ 4. ĐG: 53.000đồng</t>
    </r>
  </si>
  <si>
    <r>
      <t xml:space="preserve">* Căn cứ pháp lý áp dụng:
- Biên bản kiểm kê khối lượng giải tỏa: </t>
    </r>
    <r>
      <rPr>
        <sz val="14"/>
        <rFont val="Times New Roman"/>
        <family val="1"/>
      </rPr>
      <t>ngày 24/6/2026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 xml:space="preserve">Quyết định số 32/2026/QĐ-UBND ngày 29/4/2026 của UBND tỉnh Khánh Hòa Quy định một số biện pháp hỗ trợ khác khi Nhà nước thu hồi đất trên địa bàn tỉnh Khánh Hòa.
- Căn cứ Biên bản làm việc về nội dung: xác minh tình trạng sinh sống ăn ở thực tế tại địa phương ngày 19/8/2026 Tổ công tác xác nhận </t>
    </r>
    <r>
      <rPr>
        <b/>
        <sz val="14"/>
        <rFont val="Times New Roman"/>
        <family val="1"/>
      </rPr>
      <t xml:space="preserve">bà Nguyễn Thị Hà không thường xuyên sinh sống, ăn ở, sinh hoạt </t>
    </r>
    <r>
      <rPr>
        <sz val="14"/>
        <rFont val="Times New Roman"/>
        <family val="1"/>
      </rPr>
      <t>tại khu vực UBND phường Nam Nha Trang ban hành Thông báo số 2510/TB-UBND ngày 15/05/2026 về việc thu hồi đất để thực hiện dự án Bệnh viện đa khoa tỉnh Khánh Hòa.</t>
    </r>
  </si>
  <si>
    <r>
      <t xml:space="preserve">1. Hỗ trợ đào tạo, chuyển đổi nghề và tìm kiếm việc làm: </t>
    </r>
    <r>
      <rPr>
        <i/>
        <sz val="14"/>
        <rFont val="Times New Roman"/>
        <family val="1"/>
      </rPr>
      <t>(Hộ bà Nguyễn Thị Hà không trực tiếp sản xuất nông nghiệp trên đất)</t>
    </r>
  </si>
  <si>
    <r>
      <t>2. Hỗ trợ ổn định đời sống</t>
    </r>
    <r>
      <rPr>
        <i/>
        <sz val="14"/>
        <rFont val="Times New Roman"/>
        <family val="1"/>
      </rPr>
      <t xml:space="preserve"> (Hộ  bà Nguyễn Thị Hà thực tế không canh tác nông nghiệp trên đất)</t>
    </r>
  </si>
  <si>
    <r>
      <t>2. Hỗ trợ ổn định đời sống</t>
    </r>
    <r>
      <rPr>
        <i/>
        <sz val="14"/>
        <rFont val="Times New Roman"/>
        <family val="1"/>
      </rPr>
      <t xml:space="preserve"> (Hộ bà Lê Thị Thành thực tế không canh tác nông nghiệp trên đất)</t>
    </r>
  </si>
  <si>
    <r>
      <t xml:space="preserve">1. Hỗ trợ đào tạo, chuyển đổi nghề và tìm kiếm việc làm: </t>
    </r>
    <r>
      <rPr>
        <i/>
        <sz val="14"/>
        <rFont val="Times New Roman"/>
        <family val="1"/>
      </rPr>
      <t>(Hộ bà Lê Thị Thành không trực tiếp sản xuất nông nghiệp trên đất)</t>
    </r>
  </si>
  <si>
    <t>- Mái che lợp tole, cột kèo gỗ tiêu chuẩn, nền đất. 
DT= 4,1m x 1,9m = 7,79 m²</t>
  </si>
  <si>
    <t>- Nhà  mái lợp ngói, cột kèo gỗ tiêu chuẩn, vách tole, nền XM, cửa gỗ 
DT: (5,5m x 4,1m) = 22,55 m²xd</t>
  </si>
  <si>
    <r>
      <t xml:space="preserve">1. Hỗ trợ đào tạo, chuyển đổi nghề và tìm kiếm việc làm: </t>
    </r>
    <r>
      <rPr>
        <i/>
        <sz val="14"/>
        <rFont val="Times New Roman"/>
        <family val="1"/>
      </rPr>
      <t>(Hộ bà  Trần Thị Tâm không trực tiếp sản xuất nông nghiệp trên đất)</t>
    </r>
  </si>
  <si>
    <r>
      <t>2. Hỗ trợ ổn định đời sống</t>
    </r>
    <r>
      <rPr>
        <i/>
        <sz val="14"/>
        <rFont val="Times New Roman"/>
        <family val="1"/>
      </rPr>
      <t xml:space="preserve"> (Hộ bà Trần Thị Tâm thực tế không canh tác nông nghiệp trên đất)</t>
    </r>
  </si>
  <si>
    <r>
      <rPr>
        <b/>
        <sz val="14"/>
        <rFont val="Times New Roman"/>
        <family val="1"/>
      </rPr>
      <t xml:space="preserve">" * Giấy xác nhận về thửa đất bị thu hồi để phục vụ cho công tác bồi thường,  hỗ trợ,  tái định cư khi Nhà nước thu hồi đất số  9890/GXN-KTHTĐT ngày 04/8/2026 của Phòng Kinh tế Hạ tầng và Đô thị phường Nam Nha Trang xác nhận:
 - Về thông tin nguồn gốc đất: </t>
    </r>
    <r>
      <rPr>
        <sz val="14"/>
        <rFont val="Times New Roman"/>
        <family val="1"/>
      </rPr>
      <t xml:space="preserve">
</t>
    </r>
    <r>
      <rPr>
        <b/>
        <sz val="14"/>
        <rFont val="Times New Roman"/>
        <family val="1"/>
      </rPr>
      <t>* Thửa đất số 116 tờ bản đồ số 10 - 353599-1</t>
    </r>
    <r>
      <rPr>
        <sz val="14"/>
        <rFont val="Times New Roman"/>
        <family val="1"/>
      </rPr>
      <t xml:space="preserve"> (theo Bản đồ địa chính phường Nam Nha Trang - Đo đạc bổ sung): Tổng diện tích: 223,6m², diện tích thu hồi: 223,6m², diện tích còn lại: 0m² thuộc Bản đồ địa chính phường Nam Nha Trang được Sở Nông nghiệp và Môi trường thẩm định ngày 05/5/2026, đối chiếu tương ứng các thửa đất:</t>
    </r>
    <r>
      <rPr>
        <i/>
        <sz val="14"/>
        <rFont val="Times New Roman"/>
        <family val="1"/>
      </rPr>
      <t xml:space="preserve">
+ Theo Sổ dã ngoại và Bản đồ địa chính xã Vĩnh Thái năm 1996: Thửa đất chưa được đo vẽ.
+ Đối chiếu bản đồ và sổ mục kê năm 2002: Thửa đất thu hồi tương ứng một phần thửa đất số 407, TBĐ 07, diện tích 3300m2 , Loại đất: đất chưa sử dụng. Ghi chú</t>
    </r>
    <r>
      <rPr>
        <b/>
        <i/>
        <sz val="14"/>
        <rFont val="Times New Roman"/>
        <family val="1"/>
      </rPr>
      <t xml:space="preserve"> đất UBND xã.</t>
    </r>
    <r>
      <rPr>
        <i/>
        <sz val="14"/>
        <rFont val="Times New Roman"/>
        <family val="1"/>
      </rPr>
      <t xml:space="preserve">
+ Đối chiếu Bản đồ ĐC và sổ mục kê năm 2015: Thửa đất thu hồi tương ứng một phần thửa đất số 200 tờ bản đồ số 10, diện tích: 3.277,6m2, loại đất: BHK do ông Nguyễn Văn Ọ đứng tên kê khai và một phần thửa đất số 287 tờ bản đồ số 10, diện tích: 11.650,2m2 do </t>
    </r>
    <r>
      <rPr>
        <b/>
        <i/>
        <sz val="14"/>
        <rFont val="Times New Roman"/>
        <family val="1"/>
      </rPr>
      <t>UBND phường quản lý</t>
    </r>
    <r>
      <rPr>
        <i/>
        <sz val="14"/>
        <rFont val="Times New Roman"/>
        <family val="1"/>
      </rPr>
      <t xml:space="preserve">; diện tích lấn đất </t>
    </r>
    <r>
      <rPr>
        <b/>
        <i/>
        <sz val="14"/>
        <rFont val="Times New Roman"/>
        <family val="1"/>
      </rPr>
      <t>DTL 20,5m2</t>
    </r>
    <r>
      <rPr>
        <i/>
        <sz val="14"/>
        <rFont val="Times New Roman"/>
        <family val="1"/>
      </rPr>
      <t xml:space="preserve">
+ Vị trí thửa đất thu hồi nằm trong Danh sách Kết luận thanh tra Theo Thông báo số 749/TB-UBND-TTra ngày 18/6/2025 của Chủ tịch UBND thành phố Nha Trang, đính kèm Kết luận thanh tra số 511/KL-TTra-KTXH ngày 13/6/2025 của Chánh Thanh tra thành phố Nha Trang, tại Phụ lục I – STT 949 ghi nhận: thửa đất số 407, tờ bản đồ số 07, diện tích 3.300m2 (loại đất Hg/b) thuộc Danh sách các loại đất khác do Nhà nước quản lý theo Sổ mục kê năm 2002, hiện trạng do người dân đang sử dụng.
</t>
    </r>
    <r>
      <rPr>
        <b/>
        <sz val="14"/>
        <rFont val="Times New Roman"/>
        <family val="1"/>
      </rPr>
      <t>* Nguồn gốc đất: 
* Theo giấy tờ nguồn gốc đất do hộ gia đình cung cấp:</t>
    </r>
    <r>
      <rPr>
        <i/>
        <sz val="14"/>
        <rFont val="Times New Roman"/>
        <family val="1"/>
      </rPr>
      <t xml:space="preserve">
</t>
    </r>
    <r>
      <rPr>
        <sz val="14"/>
        <rFont val="Times New Roman"/>
        <family val="1"/>
      </rPr>
      <t xml:space="preserve">Nguồn gốc đất do ông Nguyễn Ọ chiếm trước năm 2012. Ngày 20/5/2019, ông Nguyễn Ọ lập  đơn cho quyền sử dụng đất cho cháu nội là ông Nguyễn Trọng Phước Niê, giấy viết tay, không có xác nhận của cơ quan có thẩm quyền.
</t>
    </r>
    <r>
      <rPr>
        <b/>
        <sz val="14"/>
        <rFont val="Times New Roman"/>
        <family val="1"/>
      </rPr>
      <t>Diện tích kê khai sử dụng của ông Nguyễn Trọng Phước Niê là:</t>
    </r>
    <r>
      <rPr>
        <sz val="14"/>
        <rFont val="Times New Roman"/>
        <family val="1"/>
      </rPr>
      <t xml:space="preserve">
- Tổng diện tích đất: 223,6m²
- Diện tích thu hồi: 223,6m2
- Diện tích còn lại: 0m2
- Loại đất: BHK (Theo hồ sơ địa chính năm 2015+2002).
</t>
    </r>
    <r>
      <rPr>
        <b/>
        <sz val="14"/>
        <rFont val="Times New Roman"/>
        <family val="1"/>
      </rPr>
      <t>- Thời điểm sử dụng đất:</t>
    </r>
    <r>
      <rPr>
        <sz val="14"/>
        <rFont val="Times New Roman"/>
        <family val="1"/>
      </rPr>
      <t xml:space="preserve"> sau 2019.
</t>
    </r>
    <r>
      <rPr>
        <b/>
        <sz val="14"/>
        <rFont val="Times New Roman"/>
        <family val="1"/>
      </rPr>
      <t>-Thời điểm hình thành tài sản, vật kiến trúc</t>
    </r>
    <r>
      <rPr>
        <sz val="14"/>
        <rFont val="Times New Roman"/>
        <family val="1"/>
      </rPr>
      <t xml:space="preserve">: Sau năm 2019 đến trước thông báo thu hồi đất. (Hiện trạng trên đất có nhà)
</t>
    </r>
    <r>
      <rPr>
        <b/>
        <sz val="14"/>
        <rFont val="Times New Roman"/>
        <family val="1"/>
      </rPr>
      <t>- Thời điểm tạo lập cây trồng, vật nuôi:</t>
    </r>
    <r>
      <rPr>
        <sz val="14"/>
        <rFont val="Times New Roman"/>
        <family val="1"/>
      </rPr>
      <t xml:space="preserve"> Sau năm 2019 đến trước thông báo thu hồi đất.
- Tổng diện tích đất nông nghiệp của hộ gia đình tại thửa đất bị thu hồi: 223,6m2 (diện tích lấn đất DTL 20,5m2)
- Tổng diện tích đất nông nghiệp của hộ gia đình tại địa phương: 223,6m2
- Hộ ông Nguyễn Trọng Phước Niê</t>
    </r>
    <r>
      <rPr>
        <b/>
        <sz val="14"/>
        <rFont val="Times New Roman"/>
        <family val="1"/>
      </rPr>
      <t xml:space="preserve"> không trực tiếp sản xuất nông nghiệp</t>
    </r>
    <r>
      <rPr>
        <sz val="14"/>
        <rFont val="Times New Roman"/>
        <family val="1"/>
      </rPr>
      <t xml:space="preserve"> tại vị trí thửa đất thu hồi. 
</t>
    </r>
    <r>
      <rPr>
        <b/>
        <sz val="14"/>
        <rFont val="Times New Roman"/>
        <family val="1"/>
      </rPr>
      <t xml:space="preserve">=&gt; Kết luận: </t>
    </r>
    <r>
      <rPr>
        <sz val="14"/>
        <rFont val="Times New Roman"/>
        <family val="1"/>
      </rPr>
      <t xml:space="preserve">
Nguồn gốc sử dụng đất </t>
    </r>
    <r>
      <rPr>
        <b/>
        <sz val="14"/>
        <rFont val="Times New Roman"/>
        <family val="1"/>
      </rPr>
      <t xml:space="preserve">Thửa đất số 116, tờ bản đồ số 10 - 353599-1 </t>
    </r>
    <r>
      <rPr>
        <sz val="14"/>
        <rFont val="Times New Roman"/>
        <family val="1"/>
      </rPr>
      <t xml:space="preserve">(theo Bản đồ địa chính phường Nam Nha Trang - Đo đạc bổ sung), Tổng diện tích: 223,6m², diện tích thu hồi: 223,6m², diện tích còn lại: 0m2 thuộc Bản đồ địa chính phường Nam Nha Trang được Sở Nông nghiệp và Môi trường thẩm định ngày 05/5/2026, </t>
    </r>
    <r>
      <rPr>
        <b/>
        <sz val="14"/>
        <rFont val="Times New Roman"/>
        <family val="1"/>
      </rPr>
      <t>thuộc</t>
    </r>
    <r>
      <rPr>
        <sz val="14"/>
        <rFont val="Times New Roman"/>
        <family val="1"/>
      </rPr>
      <t xml:space="preserve">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
</t>
    </r>
    <r>
      <rPr>
        <b/>
        <sz val="14"/>
        <rFont val="Times New Roman"/>
        <family val="1"/>
      </rPr>
      <t>2. Quá trình sử dụng, thay đổi đất, nhà, vật kiến trúc xây dựng trên đất.</t>
    </r>
    <r>
      <rPr>
        <sz val="14"/>
        <rFont val="Times New Roman"/>
        <family val="1"/>
      </rPr>
      <t xml:space="preserve">
</t>
    </r>
    <r>
      <rPr>
        <b/>
        <sz val="14"/>
        <rFont val="Times New Roman"/>
        <family val="1"/>
      </rPr>
      <t xml:space="preserve">* Thay đổi về sử dụng đất: </t>
    </r>
    <r>
      <rPr>
        <sz val="14"/>
        <rFont val="Times New Roman"/>
        <family val="1"/>
      </rPr>
      <t xml:space="preserve">
- Thay đổi về diện tích, ranh giới sử dụng đất: không.
- Thay đổi về mục đích sử dụng đất: không.
</t>
    </r>
    <r>
      <rPr>
        <b/>
        <sz val="14"/>
        <rFont val="Times New Roman"/>
        <family val="1"/>
      </rPr>
      <t>* Thay đổi về nhà, vật kiến trúc, tài sản trên đất: không.</t>
    </r>
    <r>
      <rPr>
        <sz val="14"/>
        <rFont val="Times New Roman"/>
        <family val="1"/>
      </rPr>
      <t xml:space="preserve">
</t>
    </r>
    <r>
      <rPr>
        <b/>
        <sz val="14"/>
        <rFont val="Times New Roman"/>
        <family val="1"/>
      </rPr>
      <t>* Thay đổi về địa chỉ thửa đất</t>
    </r>
    <r>
      <rPr>
        <sz val="14"/>
        <rFont val="Times New Roman"/>
        <family val="1"/>
      </rPr>
      <t xml:space="preserve">: không
</t>
    </r>
    <r>
      <rPr>
        <b/>
        <sz val="14"/>
        <rFont val="Times New Roman"/>
        <family val="1"/>
      </rPr>
      <t xml:space="preserve">II. Tình hình tranh chấp đối với thửa đất: </t>
    </r>
    <r>
      <rPr>
        <sz val="14"/>
        <rFont val="Times New Roman"/>
        <family val="1"/>
      </rPr>
      <t xml:space="preserve">
Hiện hộ ông Nguyễn Trọng Phước Niê đang sử dụng ổn định phần diện tích 223,6m2 từ sau năm 2015 cho đến nay, không lấn chiếm, không tranh chấp, không thuộc trường hợp đất 5%, đất công, đất khác do Nhà nước quản lý, không có đơn thư ngăn chặn, tài sản không bị phong toả để đảm bảo thi hành án.
</t>
    </r>
    <r>
      <rPr>
        <b/>
        <sz val="14"/>
        <rFont val="Times New Roman"/>
        <family val="1"/>
      </rPr>
      <t>III. Trường hợp diện tích đất thể hiện trên giấy tờ về quyền sử dụng đất có sự chênh lệch so với diện tích đất thực tế đang sử dụng:</t>
    </r>
    <r>
      <rPr>
        <sz val="14"/>
        <rFont val="Times New Roman"/>
        <family val="1"/>
      </rPr>
      <t xml:space="preserve">
- Diện tích theo giấy tờ: m2
- Diện tích đất thực tế đang sử dụng: m2
- Diện tích đất chênh lệch tăng/giảm: 
</t>
    </r>
    <r>
      <rPr>
        <b/>
        <sz val="14"/>
        <rFont val="Times New Roman"/>
        <family val="1"/>
      </rPr>
      <t>IV. 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rFont val="Times New Roman"/>
        <family val="1"/>
      </rPr>
      <t>V. Các loại giấy tờ, tài liệu, người làm chứng làm căn cứ xác nhận các nội dung trên: (Giấy tờ kèm theo hồ sơ)</t>
    </r>
    <r>
      <rPr>
        <sz val="14"/>
        <rFont val="Times New Roman"/>
        <family val="1"/>
      </rPr>
      <t xml:space="preserve">
- Hồ sơ địa chính xã năm 2002, 2015;
- Biên bản họp xác minh nguồn gốc nhà, đất ngày 27/7/2026;
- Biên bản kiểm kê khối lượng giải tỏa ngày 24/6/2026;
- Phiếu xác nhận kết quả đo đạc địa chính thửa đất số 116 tờ bản đồ số 10;
- Bản tự kê khai ngày của ông Nguyễn Trọng Phước Niê.
- CCCD số 066099015815  do Bộ Công An cấp ngày 06/10/2025  cho ông Nguyễn Trọng Phước Niê
- Giấy cho quyền sử dụng đất của ông Nguyễn Ọ cho cháu là ông Nguyễn Trọng Phước Niê không có xác nhận của cơ quan có thẩm quyền.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</si>
  <si>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r>
      <rPr>
        <b/>
        <sz val="14"/>
        <rFont val="Times New Roman"/>
        <family val="1"/>
      </rPr>
      <t xml:space="preserve"> * Giấy xác nhận về thửa đất bị thu hồi để phục vụ cho công tác bồi thường,  hỗ trợ,  tái định cư khi Nhà nước thu hồi đất số  9902/GXN-KTHTĐT ngày 04/8/2026 của Phòng Kinh tế Hạ tầng và Đô thị phường Nam Nha Trang xác nhận:
 - Về thông tin nguồn gốc đất: </t>
    </r>
    <r>
      <rPr>
        <sz val="14"/>
        <rFont val="Times New Roman"/>
        <family val="1"/>
      </rPr>
      <t xml:space="preserve">
</t>
    </r>
    <r>
      <rPr>
        <b/>
        <sz val="14"/>
        <rFont val="Times New Roman"/>
        <family val="1"/>
      </rPr>
      <t>* Thửa đất số 117 tờ bản đồ số 10 - 353599-1</t>
    </r>
    <r>
      <rPr>
        <sz val="14"/>
        <rFont val="Times New Roman"/>
        <family val="1"/>
      </rPr>
      <t xml:space="preserve"> (theo Bản đồ địa chính phường Nam Nha Trang - Đo đạc bổ sung): Tổng diện tích: 109,0 m², diện tích thu hồi: 109,0 m², diện tích còn lại: 0m² thuộc Bản đồ địa chính phường Nam Nha Trang được Sở Nông nghiệp và Môi trường thẩm định ngày 05/5/2026, đối chiếu tương ứng các thửa đất:</t>
    </r>
    <r>
      <rPr>
        <i/>
        <sz val="14"/>
        <rFont val="Times New Roman"/>
        <family val="1"/>
      </rPr>
      <t xml:space="preserve">
+ Theo Sổ dã ngoại và Bản đồ địa chính xã Vĩnh Thái năm 1996: Thửa đất chưa được đo vẽ.
+ Đối chiếu bản đồ và sổ mục kê năm 2002: Thửa đất thu hồi tương ứng một phần thửa đất số 407, TBĐ 07, diện tích 3300m2 , Loại đất: đất chưa sử dụng. Ghi chú</t>
    </r>
    <r>
      <rPr>
        <b/>
        <i/>
        <sz val="14"/>
        <rFont val="Times New Roman"/>
        <family val="1"/>
      </rPr>
      <t xml:space="preserve"> đất UBND xã.</t>
    </r>
    <r>
      <rPr>
        <i/>
        <sz val="14"/>
        <rFont val="Times New Roman"/>
        <family val="1"/>
      </rPr>
      <t xml:space="preserve">
+ Đối chiếu Bản đồ ĐC và sổ mục kê năm 2015: Thửa đất thu hồi tương ứng một phần thửa đất số 200 tờ bản đồ số 10, diện tích: 3.277,6m2, loại đất: BHK do ông Nguyễn Văn Ọ đứng tên kê khai và một phần thửa đất số 287 tờ bản đồ số 10, diện tích: 11.650,2m2 do </t>
    </r>
    <r>
      <rPr>
        <b/>
        <i/>
        <sz val="14"/>
        <rFont val="Times New Roman"/>
        <family val="1"/>
      </rPr>
      <t>UBND phường quản lý</t>
    </r>
    <r>
      <rPr>
        <i/>
        <sz val="14"/>
        <rFont val="Times New Roman"/>
        <family val="1"/>
      </rPr>
      <t xml:space="preserve">; diện tích lấn đất DTL  15,3m2
+ Vị trí thửa đất thu hồi nằm trong Danh sách Kết luận thanh tra Theo Thông báo số 749/TB-UBND-TTra ngày 18/6/2025 của Chủ tịch UBND thành phố Nha Trang, đính kèm Kết luận thanh tra số 511/KL-TTra-KTXH ngày 13/6/2025 của Chánh Thanh tra thành phố Nha Trang, tại Phụ lục I – STT 949 ghi nhận: thửa đất số 407, tờ bản đồ số 07, diện tích 3.300m2 (loại đất Hg/b) thuộc Danh sách các loại đất khác do Nhà nước quản lý theo Sổ mục kê năm 2002, hiện trạng do người dân đang sử dụng.
</t>
    </r>
    <r>
      <rPr>
        <b/>
        <sz val="14"/>
        <rFont val="Times New Roman"/>
        <family val="1"/>
      </rPr>
      <t>* Nguồn gốc đất: 
* Theo giấy tờ nguồn gốc đất do hộ gia đình cung cấp:</t>
    </r>
    <r>
      <rPr>
        <i/>
        <sz val="14"/>
        <rFont val="Times New Roman"/>
        <family val="1"/>
      </rPr>
      <t xml:space="preserve">
</t>
    </r>
    <r>
      <rPr>
        <sz val="14"/>
        <rFont val="Times New Roman"/>
        <family val="1"/>
      </rPr>
      <t xml:space="preserve">Nguồn gốc đất do ông Nguyễn Ọ chiếm trước năm 2012. Ngày 26/4/2012, ông Nguyễn Ọ lập cho con là bà Nguyễn Thị Hà cùng chồng là ông Nguyễn Đại Phong, giấy viết tay, không có xác nhận của cơ quan có thẩm quyền.
Ngày 30/12/2013, ông Nguyễn Đại Phong và vợ là bà Nguyễn Thị Hà lập giấy cho quyền sử dụng đất cho con gái là bà Nguyễn Ngọc Như Ý, giấy viết tay không ghi thời gian lập, không có xác nhận của cơ quan có thẩm quyền.
</t>
    </r>
    <r>
      <rPr>
        <b/>
        <sz val="14"/>
        <rFont val="Times New Roman"/>
        <family val="1"/>
      </rPr>
      <t>Diện tích kê khai sử dụng của hộ bà Nguyễn Ngọc Như Ý là:</t>
    </r>
    <r>
      <rPr>
        <sz val="14"/>
        <rFont val="Times New Roman"/>
        <family val="1"/>
      </rPr>
      <t xml:space="preserve">
- Tổng diện tích đất: 109,0m²
- Diện tích thu hồi: 109,0m2 (diện tích lấn đất DTL 15,3m2)
- Diện tích còn lại: 0m2
- Loại đất: BHK (Theo hồ sơ địa chính năm 2015).
</t>
    </r>
    <r>
      <rPr>
        <b/>
        <sz val="14"/>
        <rFont val="Times New Roman"/>
        <family val="1"/>
      </rPr>
      <t>- Thời điểm sử dụng đất</t>
    </r>
    <r>
      <rPr>
        <sz val="14"/>
        <rFont val="Times New Roman"/>
        <family val="1"/>
      </rPr>
      <t xml:space="preserve">: sau 2015 .
</t>
    </r>
    <r>
      <rPr>
        <b/>
        <sz val="14"/>
        <rFont val="Times New Roman"/>
        <family val="1"/>
      </rPr>
      <t>-Thời điểm hình thành tài sản, vật kiến trúc</t>
    </r>
    <r>
      <rPr>
        <sz val="14"/>
        <rFont val="Times New Roman"/>
        <family val="1"/>
      </rPr>
      <t xml:space="preserve">: Sau năm 2015 đến trước thông báo thu hồi đất. (Hiện trạng trên đất có nhà)
</t>
    </r>
    <r>
      <rPr>
        <b/>
        <sz val="14"/>
        <rFont val="Times New Roman"/>
        <family val="1"/>
      </rPr>
      <t>- Thời điểm tạo lập cây trồng, vật nuôi</t>
    </r>
    <r>
      <rPr>
        <sz val="14"/>
        <rFont val="Times New Roman"/>
        <family val="1"/>
      </rPr>
      <t xml:space="preserve">: Sau năm 2015 đến trước thông báo thu hồi đất.
</t>
    </r>
    <r>
      <rPr>
        <b/>
        <sz val="14"/>
        <rFont val="Times New Roman"/>
        <family val="1"/>
      </rPr>
      <t>- Tổng diện tích đất nông nghiệp của hộ gia đình tại thửa đất bị thu hồi:</t>
    </r>
    <r>
      <rPr>
        <sz val="14"/>
        <rFont val="Times New Roman"/>
        <family val="1"/>
      </rPr>
      <t xml:space="preserve"> 109,0m2 diện tích lấn đất </t>
    </r>
    <r>
      <rPr>
        <b/>
        <sz val="14"/>
        <rFont val="Times New Roman"/>
        <family val="1"/>
      </rPr>
      <t>DTL 15,3m2</t>
    </r>
    <r>
      <rPr>
        <sz val="14"/>
        <rFont val="Times New Roman"/>
        <family val="1"/>
      </rPr>
      <t xml:space="preserve">
- Tổng diện tích đất nông nghiệp của hộ gia đình tại địa phương: 109,0m2
- Hộ bà Nguyễn Ngọc Như Ý </t>
    </r>
    <r>
      <rPr>
        <b/>
        <sz val="14"/>
        <rFont val="Times New Roman"/>
        <family val="1"/>
      </rPr>
      <t>không trực tiếp sản xuất nông nghiệp</t>
    </r>
    <r>
      <rPr>
        <sz val="14"/>
        <rFont val="Times New Roman"/>
        <family val="1"/>
      </rPr>
      <t xml:space="preserve"> tại vị trí thửa đất thu hồi. 
</t>
    </r>
    <r>
      <rPr>
        <b/>
        <sz val="14"/>
        <rFont val="Times New Roman"/>
        <family val="1"/>
      </rPr>
      <t xml:space="preserve">=&gt; Kết luận: </t>
    </r>
    <r>
      <rPr>
        <sz val="14"/>
        <rFont val="Times New Roman"/>
        <family val="1"/>
      </rPr>
      <t xml:space="preserve">
Nguồn gốc sử dụng đất</t>
    </r>
    <r>
      <rPr>
        <b/>
        <sz val="14"/>
        <rFont val="Times New Roman"/>
        <family val="1"/>
      </rPr>
      <t xml:space="preserve"> Thửa đất số 117, tờ bản đồ số 10 - 353599-1</t>
    </r>
    <r>
      <rPr>
        <sz val="14"/>
        <rFont val="Times New Roman"/>
        <family val="1"/>
      </rPr>
      <t xml:space="preserve"> (theo Bản đồ địa chính phường Nam Nha Trang - Đo đạc bổ sung), Tổng diện tích: 109m², diện tích thu hồi: 109m², diện tích còn lại: 0m2 thuộc Bản đồ địa chính phường Nam Nha Trang được Sở Nông nghiệp và Môi trường thẩm định ngày 05/5/2026, </t>
    </r>
    <r>
      <rPr>
        <b/>
        <sz val="14"/>
        <rFont val="Times New Roman"/>
        <family val="1"/>
      </rPr>
      <t>thuộc</t>
    </r>
    <r>
      <rPr>
        <sz val="14"/>
        <rFont val="Times New Roman"/>
        <family val="1"/>
      </rPr>
      <t xml:space="preserve">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t>
    </r>
    <r>
      <rPr>
        <b/>
        <sz val="14"/>
        <rFont val="Times New Roman"/>
        <family val="1"/>
      </rPr>
      <t>2. Quá trình sử dụng, thay đổi đất, nhà, vật kiến trúc xây dựng trên đất.</t>
    </r>
    <r>
      <rPr>
        <sz val="14"/>
        <rFont val="Times New Roman"/>
        <family val="1"/>
      </rPr>
      <t xml:space="preserve">
</t>
    </r>
    <r>
      <rPr>
        <b/>
        <sz val="14"/>
        <rFont val="Times New Roman"/>
        <family val="1"/>
      </rPr>
      <t xml:space="preserve">* Thay đổi về sử dụng đất: </t>
    </r>
    <r>
      <rPr>
        <sz val="14"/>
        <rFont val="Times New Roman"/>
        <family val="1"/>
      </rPr>
      <t xml:space="preserve">
- Thay đổi về diện tích, ranh giới sử dụng đất: không.
- Thay đổi về mục đích sử dụng đất: không.
</t>
    </r>
    <r>
      <rPr>
        <b/>
        <sz val="14"/>
        <rFont val="Times New Roman"/>
        <family val="1"/>
      </rPr>
      <t>* Thay đổi về nhà, vật kiến trúc, tài sản trên đất: không.</t>
    </r>
    <r>
      <rPr>
        <sz val="14"/>
        <rFont val="Times New Roman"/>
        <family val="1"/>
      </rPr>
      <t xml:space="preserve">
</t>
    </r>
    <r>
      <rPr>
        <b/>
        <sz val="14"/>
        <rFont val="Times New Roman"/>
        <family val="1"/>
      </rPr>
      <t>* Thay đổi về địa chỉ thửa đất</t>
    </r>
    <r>
      <rPr>
        <sz val="14"/>
        <rFont val="Times New Roman"/>
        <family val="1"/>
      </rPr>
      <t xml:space="preserve">: không
</t>
    </r>
    <r>
      <rPr>
        <b/>
        <sz val="14"/>
        <rFont val="Times New Roman"/>
        <family val="1"/>
      </rPr>
      <t xml:space="preserve">II. Tình hình tranh chấp đối với thửa đất: </t>
    </r>
    <r>
      <rPr>
        <sz val="14"/>
        <rFont val="Times New Roman"/>
        <family val="1"/>
      </rPr>
      <t xml:space="preserve">
      Hiện hộ bà Nguyễn Ngọc Như Ý đang sử dụng ổn định phần diện tích 109,0 m2 từ sau năm 2015 cho đến nay, không lấn chiếm, không tranh chấp, không thuộc trường hợp đất 5%, đất công, đất khác do Nhà nước quản lý, không có đơn thư ngăn chặn, tài sản không bị phong toả để đảm bảo thi hành án.
</t>
    </r>
    <r>
      <rPr>
        <b/>
        <sz val="14"/>
        <rFont val="Times New Roman"/>
        <family val="1"/>
      </rPr>
      <t>III. Trường hợp diện tích đất thể hiện trên giấy tờ về quyền sử dụng đất có sự chênh lệch so với diện tích đất thực tế đang sử dụng:</t>
    </r>
    <r>
      <rPr>
        <sz val="14"/>
        <rFont val="Times New Roman"/>
        <family val="1"/>
      </rPr>
      <t xml:space="preserve">
- Diện tích theo giấy tờ: m2
- Diện tích đất thực tế đang sử dụng: m2
- Diện tích đất chênh lệch tăng/giảm: 
</t>
    </r>
    <r>
      <rPr>
        <b/>
        <sz val="14"/>
        <rFont val="Times New Roman"/>
        <family val="1"/>
      </rPr>
      <t>IV. 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rFont val="Times New Roman"/>
        <family val="1"/>
      </rPr>
      <t>V. Các loại giấy tờ, tài liệu, người làm chứng làm căn cứ xác nhận các nội dung trên: (Giấy tờ kèm theo hồ sơ)</t>
    </r>
    <r>
      <rPr>
        <sz val="14"/>
        <rFont val="Times New Roman"/>
        <family val="1"/>
      </rPr>
      <t xml:space="preserve">
- Hồ sơ địa chính xã năm 2002, 2015;
- Biên bản họp xác minh nguồn gốc nhà, đất ngày 27/7/2026;
- Biên bản kiểm kê khối lượng giải tỏa ngày 24/6/2026;
- Phiếu xác nhận kết quả đo đạc địa chính thửa đất số 117 tờ bản đồ số 10;
- Bản tự kê khai ngày của bà Nguyễn Ngọc Như Ý .
- CCCD số 056193006822  do Bộ Công An cấp ngày 06/10/2025 cấp ngày 12/8/2021  cho bà Nguyễn Ngọc Như Ý;
- Giấy cho quyền sử dụng đất của ông Nguyễn Ọ cho con ông Nguyễn Đại Phong và bà Nguyễn Thị Hà ngày 26/4/2012, không có xác nhận của cơ quan có thẩm quyền.
- Giấy cho quyền sử dụng đất của ông Nguyễn Đại Phong và bà Nguyễn Thị Hà cho con là bà Nguyễn Ngọc Như Ý không có xác nhận của cơ quan có thẩm quyền.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</si>
  <si>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t>Áp đơn giá tại phụ lục STT C.03, Quyết định số 08/2026/QĐ-UBND ngày 22/01/2026 của UBND tỉnh Khánh Hòa, đơn giá: 741.439 đ/m²XD. Giảm 8,5% vì nền đất (theo Mục I, STT 12 văn bản số 2093/SXD-KTVLXD ngày 05/3/2026 của Sở Xây dựng)
 741.439đ/m²XD - ( 741.439đ/m²XD x 8,5%) = 678.417đ/m²XD</t>
  </si>
  <si>
    <t>- Nhà vách tole, mái lợp tole, cột kèo sắt, cửa tole, nền gạch men,  móng đá chẻ, hệ vệ sinh (có hầm tự hoại)
DT: 10,2m x 5,1m = 52,02m²
DTGT: 5,84m²
DTCL: 52,2m² - 5,84m² = 46,18m²</t>
  </si>
  <si>
    <r>
      <t xml:space="preserve">* Căn cứ pháp lý áp dụng:
- Biên bản kiểm kê khối lượng giải tỏa: </t>
    </r>
    <r>
      <rPr>
        <sz val="14"/>
        <rFont val="Times New Roman"/>
        <family val="1"/>
      </rPr>
      <t>ngày 19/6/2026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 xml:space="preserve">Quyết định số 32/2026/QĐ-UBND ngày 29/4/2026 của UBND tỉnh Khánh Hòa Quy định một số biện pháp hỗ trợ khác khi Nhà nước thu hồi đất trên địa bàn tỉnh Khánh Hòa.
- Căn cứ Xác nhận thông tin về cư trú số 000040/XN ngày 22/01/2025 của Công an xã Vĩnh Thái bà Trần Thị Tâm </t>
    </r>
    <r>
      <rPr>
        <b/>
        <sz val="14"/>
        <rFont val="Times New Roman"/>
        <family val="1"/>
      </rPr>
      <t xml:space="preserve">tạm trú </t>
    </r>
    <r>
      <rPr>
        <sz val="14"/>
        <rFont val="Times New Roman"/>
        <family val="1"/>
      </rPr>
      <t>tại thôn Vĩnh Xuân, xã Vĩnh Thái, thành phố Nha Trang.</t>
    </r>
  </si>
  <si>
    <r>
      <rPr>
        <b/>
        <sz val="14"/>
        <rFont val="Times New Roman"/>
        <family val="1"/>
      </rPr>
      <t>"* Giấy xác nhận về thửa đất bị thu hồi để phục vụ cho công tác bồi thường,  hỗ trợ,  tái định cư khi Nhà nước thu hồi đất số 9897/GXN-KTHTĐT ngày 04/8/2026 của Phòng Kinh tế, Hạ tầng và Đô thị phường Nam Nha Trang xác nhận:</t>
    </r>
    <r>
      <rPr>
        <sz val="14"/>
        <rFont val="Times New Roman"/>
        <family val="1"/>
      </rPr>
      <t xml:space="preserve">
</t>
    </r>
    <r>
      <rPr>
        <b/>
        <sz val="14"/>
        <rFont val="Times New Roman"/>
        <family val="1"/>
      </rPr>
      <t xml:space="preserve"> - Về thông tin nguồn gốc đất:</t>
    </r>
    <r>
      <rPr>
        <sz val="14"/>
        <rFont val="Times New Roman"/>
        <family val="1"/>
      </rPr>
      <t xml:space="preserve"> 
</t>
    </r>
    <r>
      <rPr>
        <b/>
        <sz val="14"/>
        <rFont val="Times New Roman"/>
        <family val="1"/>
      </rPr>
      <t>* Thửa đất số 118 tờ bản đồ số 10 - 353599-1</t>
    </r>
    <r>
      <rPr>
        <sz val="14"/>
        <rFont val="Times New Roman"/>
        <family val="1"/>
      </rPr>
      <t xml:space="preserve"> (theo Bản đồ địa chính phường Nam Nha Trang - Đo đạc bổ sung): Tổng diện tích: 244,0m², diện tích thu hồi: 244,0m², diện tích còn lại: 0m2 thuộc Bản đồ địa chính phường Nam Nha Trang được Sở Nông nghiệp và Môi trường thẩm định ngày 05/5/2026, đối chiếu tương ứng các thửa đất:
</t>
    </r>
    <r>
      <rPr>
        <i/>
        <sz val="14"/>
        <rFont val="Times New Roman"/>
        <family val="1"/>
      </rPr>
      <t xml:space="preserve">+ Theo Sổ dã ngoại và Bản đồ địa chính xã Vĩnh Thái năm 1996: Thửa đất chưa được đo vẽ.
+ Đối chiếu bản đồ và sổ mục kê năm 2002: Thửa đất thu hồi tương ứng một phần thửa đất số 407, TBĐ 07, diện tích 3300m2 ,Loại đất: đất chưa sử dụng. Ghi chú </t>
    </r>
    <r>
      <rPr>
        <b/>
        <i/>
        <sz val="14"/>
        <rFont val="Times New Roman"/>
        <family val="1"/>
      </rPr>
      <t>đất UBND xã</t>
    </r>
    <r>
      <rPr>
        <i/>
        <sz val="14"/>
        <rFont val="Times New Roman"/>
        <family val="1"/>
      </rPr>
      <t xml:space="preserve">.
+ Đối chiếu Bản đồ ĐC và sổ mục kê năm 2015: Thửa đất thu hồi tương ứng một phần thửa đất số 200 tờ bản đồ số 10; do ông Nguyễn Văn Ọ đứng tên kê khai; diện tích: 3.277,6m2; loại đất: BHK và một phần thửa đất số 287 tờ bản đồ số 10; diện tích: 11.650,2m2; loại đất DTL; </t>
    </r>
    <r>
      <rPr>
        <b/>
        <i/>
        <sz val="14"/>
        <rFont val="Times New Roman"/>
        <family val="1"/>
      </rPr>
      <t>do UBND phường quản lý</t>
    </r>
    <r>
      <rPr>
        <i/>
        <sz val="14"/>
        <rFont val="Times New Roman"/>
        <family val="1"/>
      </rPr>
      <t xml:space="preserve">, diện tích lấn mương là </t>
    </r>
    <r>
      <rPr>
        <b/>
        <i/>
        <sz val="14"/>
        <rFont val="Times New Roman"/>
        <family val="1"/>
      </rPr>
      <t>43,6m2</t>
    </r>
    <r>
      <rPr>
        <i/>
        <sz val="14"/>
        <rFont val="Times New Roman"/>
        <family val="1"/>
      </rPr>
      <t xml:space="preserve">
+ Vị trí thửa đất thu hồi nằm trong Danh sách Kết luận thanh tra Theo Thông báo số 749/TB-UBND-TTra ngày 18/6/2025 của Chủ tịch UBND thành phố Nha Trang, đính kèm Kết luận thanh tra số 511/KL-TTra-KTXH ngày 13/6/2025 của Chánh Thanh tra thành phố Nha Trang, tại Phụ lục I – STT 949 ghi nhận: thửa đất số 407, tờ bản đồ số 07, diện tích 3.300m2 (loại đất Hg/b) thuộc Danh sách các loại đất khác do Nhà nước quản lý theo Sổ mục kê năm 2002, hiện trạng do người dân đang sử dụng.</t>
    </r>
    <r>
      <rPr>
        <sz val="14"/>
        <rFont val="Times New Roman"/>
        <family val="1"/>
      </rPr>
      <t xml:space="preserve">
</t>
    </r>
    <r>
      <rPr>
        <b/>
        <sz val="14"/>
        <rFont val="Times New Roman"/>
        <family val="1"/>
      </rPr>
      <t>* Nguồn gốc đất: 
* Theo giấy tờ nguồn gốc đất do hộ gia đình cung cấp:</t>
    </r>
    <r>
      <rPr>
        <sz val="14"/>
        <rFont val="Times New Roman"/>
        <family val="1"/>
      </rPr>
      <t xml:space="preserve">
Nguồn gốc đất do ông Nguyễn Ọ chiếm trước năm 2012. Ngày 26/4/2012, ông Nguyễn Ọ lập đơn cho quyền sử dụng đất cho con là bà Nguyễn Thị Hà cùng chồng là ông Nguyễn Đại Phong, giấy viết tay, không có xác nhận của cơ quan có thẩm quyền.
   </t>
    </r>
    <r>
      <rPr>
        <b/>
        <sz val="14"/>
        <rFont val="Times New Roman"/>
        <family val="1"/>
      </rPr>
      <t>Diện tích kê khai sử dụng của bà Nguyễn Thị Hà:</t>
    </r>
    <r>
      <rPr>
        <sz val="14"/>
        <rFont val="Times New Roman"/>
        <family val="1"/>
      </rPr>
      <t xml:space="preserve">
- Tổng diện tích đất: 244,0m²
- Diện tích thu hồi: 244,0m2 (diện tích lấn mương là 43,6m2)
- Diện tích còn lại: 0m2
- Loại đất: BHK (Theo hồ sơ địa chính năm 2015).
</t>
    </r>
    <r>
      <rPr>
        <b/>
        <sz val="14"/>
        <rFont val="Times New Roman"/>
        <family val="1"/>
      </rPr>
      <t>- Thời điểm sử dụng đất</t>
    </r>
    <r>
      <rPr>
        <sz val="14"/>
        <rFont val="Times New Roman"/>
        <family val="1"/>
      </rPr>
      <t xml:space="preserve">: sau năm 2015.
</t>
    </r>
    <r>
      <rPr>
        <b/>
        <sz val="14"/>
        <rFont val="Times New Roman"/>
        <family val="1"/>
      </rPr>
      <t>-Thời điểm hình thành tài sản, vật kiến trúc</t>
    </r>
    <r>
      <rPr>
        <sz val="14"/>
        <rFont val="Times New Roman"/>
        <family val="1"/>
      </rPr>
      <t xml:space="preserve">: Sau năm 2015 đến trước thông báo thu hồi đất. (Hiện trạng trên đất có nhà)
</t>
    </r>
    <r>
      <rPr>
        <b/>
        <sz val="14"/>
        <rFont val="Times New Roman"/>
        <family val="1"/>
      </rPr>
      <t>- Thời điểm tạo lập cây trồng, vật nuôi:</t>
    </r>
    <r>
      <rPr>
        <sz val="14"/>
        <rFont val="Times New Roman"/>
        <family val="1"/>
      </rPr>
      <t xml:space="preserve"> Sau năm 2015 đến trước thông báo thu hồi đất.
- Tổng diện tích đất nông nghiệp của hộ gia đình tại thửa đất bị thu hồi: 244,0m2 (diện tích lấn mương là 43,6m2)
- Tổng diện tích đất nông nghiệp của hộ gia đình tại địa phương: 244,0m2
- Hộ bà Nguyễn Thị Hà </t>
    </r>
    <r>
      <rPr>
        <b/>
        <sz val="14"/>
        <rFont val="Times New Roman"/>
        <family val="1"/>
      </rPr>
      <t>không trực tiếp sản xuất nông nghiệp</t>
    </r>
    <r>
      <rPr>
        <sz val="14"/>
        <rFont val="Times New Roman"/>
        <family val="1"/>
      </rPr>
      <t xml:space="preserve"> tại vị trí thửa đất thu thồi. 
- Tình trạng có ăn ở, sinh hoạt tại vị trí thửa đất thu hồi: Căn cứ theo xác minh của Công an phường Nam Nha Trang về tình trạng ăn ở và quá trình cư trú của hộ gia đình tại vị trí thửa đất thu hồi.
=&gt; Kết luận: 
Nguồn gốc sử dụng đất </t>
    </r>
    <r>
      <rPr>
        <b/>
        <sz val="14"/>
        <rFont val="Times New Roman"/>
        <family val="1"/>
      </rPr>
      <t xml:space="preserve">Thửa đất số 118, tờ bản đồ số 10 - 353599-1 </t>
    </r>
    <r>
      <rPr>
        <sz val="14"/>
        <rFont val="Times New Roman"/>
        <family val="1"/>
      </rPr>
      <t xml:space="preserve">(theo Bản đồ địa chính phường Nam Nha Trang - Đo đạc bổ sung), Tổng diện tích: 244m², diện tích thu hồi: 244m², diện tích còn lại: 0m2 thuộc Bản đồ địa chính phường Nam Nha Trang được Sở Nông nghiệp và Môi trường thẩm định ngày 05/5/2026, </t>
    </r>
    <r>
      <rPr>
        <b/>
        <sz val="14"/>
        <rFont val="Times New Roman"/>
        <family val="1"/>
      </rPr>
      <t>thuộc</t>
    </r>
    <r>
      <rPr>
        <sz val="14"/>
        <rFont val="Times New Roman"/>
        <family val="1"/>
      </rPr>
      <t xml:space="preserve">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
</t>
    </r>
    <r>
      <rPr>
        <b/>
        <sz val="14"/>
        <rFont val="Times New Roman"/>
        <family val="1"/>
      </rPr>
      <t>2. Quá trình sử dụng, thay đổi đất, nhà, vật kiến trúc xây dựng trên đất.</t>
    </r>
    <r>
      <rPr>
        <sz val="14"/>
        <rFont val="Times New Roman"/>
        <family val="1"/>
      </rPr>
      <t xml:space="preserve">
</t>
    </r>
    <r>
      <rPr>
        <b/>
        <sz val="14"/>
        <rFont val="Times New Roman"/>
        <family val="1"/>
      </rPr>
      <t xml:space="preserve">* Thay đổi về sử dụng đất: </t>
    </r>
    <r>
      <rPr>
        <sz val="14"/>
        <rFont val="Times New Roman"/>
        <family val="1"/>
      </rPr>
      <t xml:space="preserve">
- Thay đổi về diện tích, ranh giới sử dụng đất: không.
- Thay đổi về mục đích sử dụng đất: không.
</t>
    </r>
    <r>
      <rPr>
        <b/>
        <sz val="14"/>
        <rFont val="Times New Roman"/>
        <family val="1"/>
      </rPr>
      <t>* Thay đổi về nhà, vật kiến trúc, tài sản trên đất</t>
    </r>
    <r>
      <rPr>
        <sz val="14"/>
        <rFont val="Times New Roman"/>
        <family val="1"/>
      </rPr>
      <t xml:space="preserve">: không.
</t>
    </r>
    <r>
      <rPr>
        <b/>
        <sz val="14"/>
        <rFont val="Times New Roman"/>
        <family val="1"/>
      </rPr>
      <t>* Thay đổi về địa chỉ thửa đất:</t>
    </r>
    <r>
      <rPr>
        <sz val="14"/>
        <rFont val="Times New Roman"/>
        <family val="1"/>
      </rPr>
      <t xml:space="preserve"> không
</t>
    </r>
    <r>
      <rPr>
        <b/>
        <sz val="14"/>
        <rFont val="Times New Roman"/>
        <family val="1"/>
      </rPr>
      <t xml:space="preserve">II. Tình hình tranh chấp đối với thửa đất: </t>
    </r>
    <r>
      <rPr>
        <sz val="14"/>
        <rFont val="Times New Roman"/>
        <family val="1"/>
      </rPr>
      <t xml:space="preserve">
Hiện hộ bà Nguyễn Thị Hà đang sử dụng ổn định phần diện tích 244,0m2từ sau năm 2015 cho đến nay, không lấn chiếm, không tranh chấp, không thuộc trường hợp đất 5%, đất công, đất khác do Nhà nước quản lý, không có đơn thư ngăn chặn, tài sản không bị phong toả để đảm bảo thi hành án.
</t>
    </r>
    <r>
      <rPr>
        <b/>
        <sz val="14"/>
        <rFont val="Times New Roman"/>
        <family val="1"/>
      </rPr>
      <t>III. Trường hợp diện tích đất thể hiện trên giấy tờ về quyền sử dụng đất có sự chênh lệch so với diện tích đất thực tế đang sử dụng:</t>
    </r>
    <r>
      <rPr>
        <sz val="14"/>
        <rFont val="Times New Roman"/>
        <family val="1"/>
      </rPr>
      <t xml:space="preserve">
- Diện tích theo giấy tờ:m2
- Diện tích đất thực tế đang sử dụng: m2
- Diện tích đất chênh lệch tăng/giảm: 
</t>
    </r>
    <r>
      <rPr>
        <b/>
        <sz val="14"/>
        <rFont val="Times New Roman"/>
        <family val="1"/>
      </rPr>
      <t>IV. 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rFont val="Times New Roman"/>
        <family val="1"/>
      </rPr>
      <t>V. Các loại giấy tờ, tài liệu, người làm chứng làm căn cứ xác nhận các nội dung trên: (Giấy tờ kèm theo hồ sơ)</t>
    </r>
    <r>
      <rPr>
        <sz val="14"/>
        <rFont val="Times New Roman"/>
        <family val="1"/>
      </rPr>
      <t xml:space="preserve">
- Hồ sơ địa chính xã năm 2002, 2015;
- Biên bản họp xác minh nguồn gốc nhà, đất ngày 27/7/2026;
- Biên bản kiểm kê khối lượng giải tỏa ngày 24/6/2026;
- Phiếu xác nhận kết quả đo đạc địa chính thửa đất số 118 tờ bản đồ số 10;
- Bản tự kê khai ngày của bà Nguyễn Thị Hà.
-CCCD số 056170005392 do Cục QLHC về TTXH cấp ngày 12/08/2021 cho bà Nguyễn Thị Hà
- Giấy cho quyền sử dụng đất của ông Nguyễn Ọ cho con là ông Nguyễn Đại Phong và bà Nguyễn Thị Hà ngày 26/4/2012, không có xác nhận của cơ quan có thẩm quyền.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 Biên bản làm việc về nội dung: xác minh tình trạng sinh sống ăn ở thực tế tại địa phương ngày 19/8/2026.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</si>
  <si>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r>
      <rPr>
        <b/>
        <sz val="14"/>
        <rFont val="Times New Roman"/>
        <family val="1"/>
      </rPr>
      <t xml:space="preserve">" * Giấy xác nhận về thửa đất bị thu hồi để phục vụ cho công tác bồi thường,  hỗ trợ,  tái định cư khi Nhà nước thu hồi đất số  9895/GXN-KTHTĐT ngày 04/8/2026 của Phòng Kinh tế Hạ tầng và Đô thị phường Nam Nha Trang xác nhận:
 - Về thông tin nguồn gốc đất: </t>
    </r>
    <r>
      <rPr>
        <sz val="14"/>
        <rFont val="Times New Roman"/>
        <family val="1"/>
      </rPr>
      <t xml:space="preserve">
</t>
    </r>
    <r>
      <rPr>
        <b/>
        <sz val="14"/>
        <rFont val="Times New Roman"/>
        <family val="1"/>
      </rPr>
      <t>* Thửa đất số 115 tờ bản đồ số 10 - 353599-1</t>
    </r>
    <r>
      <rPr>
        <sz val="14"/>
        <rFont val="Times New Roman"/>
        <family val="1"/>
      </rPr>
      <t xml:space="preserve"> (theo Bản đồ địa chính phường Nam Nha Trang - Đo đạc bổ sung): Tổng diện tích: 174,0m², diện tích thu hồi: 174,0m², diện tích còn lại: 0m² thuộc Bản đồ địa chính phường Nam Nha Trang được Sở Nông nghiệp và Môi trường thẩm định ngày 05/5/2026, đối chiếu tương ứng các thửa đất:</t>
    </r>
    <r>
      <rPr>
        <i/>
        <sz val="14"/>
        <rFont val="Times New Roman"/>
        <family val="1"/>
      </rPr>
      <t xml:space="preserve">
+ Theo Sổ dã ngoại và Bản đồ địa chính xã Vĩnh Thái năm 1996: Thửa đất chưa được đo vẽ.
+ Đối chiếu bản đồ và sổ mục kê năm 2002: Thửa đất thu hồi tương ứng một phần thửa đất số 407, TBĐ 07, diện tích 3300m2 , Loại đất: đất chưa sử dụng. Ghi chú đất UBND xã.
+ Đối chiếu Bản đồ ĐC và sổ mục kê năm 2015: Thửa đất thu hồi tương ứng một phần thửa đất số 200 tờ bản đồ số 10, diện tích: 3.277,6m2, loại đất: BHK do ông Nguyễn Văn Ọ đứng tên kê khai và một phần thửa đất số 287 tờ bản đồ số 10, diện tích: 11.650,2m2 do UBND phường quản lý; diện tích đất lấn 11,8m2
+ Vị trí thửa đất thu hồi nằm trong Danh sách Kết luận thanh tra Theo Thông báo số 749/TB-UBND-TTra ngày 18/6/2025 của Chủ tịch UBND thành phố Nha Trang, đính kèm Kết luận thanh tra số 511/KL-TTra-KTXH ngày 13/6/2025 của Chánh Thanh tra thành phố Nha Trang, tại Phụ lục I – STT 949 ghi nhận: thửa đất số 407, tờ bản đồ số 07, diện tích 3.300m2 (loại đất Hg/b) thuộc Danh sách các loại đất khác do Nhà nước quản lý theo Sổ mục kê năm 2002, hiện trạng do người dân đang sử dụng.
</t>
    </r>
    <r>
      <rPr>
        <b/>
        <sz val="14"/>
        <rFont val="Times New Roman"/>
        <family val="1"/>
      </rPr>
      <t>* Nguồn gốc đất: 
* Theo giấy tờ nguồn gốc đất do hộ gia đình cung cấp:</t>
    </r>
    <r>
      <rPr>
        <i/>
        <sz val="14"/>
        <rFont val="Times New Roman"/>
        <family val="1"/>
      </rPr>
      <t xml:space="preserve">
</t>
    </r>
    <r>
      <rPr>
        <sz val="14"/>
        <rFont val="Times New Roman"/>
        <family val="1"/>
      </rPr>
      <t xml:space="preserve">Nguồn gốc đất do ông Nguyễn Ọ chiếm trước năm 2012. Ngày 25/3/2010, ông Nguyễn Ọ lập hợp đồng bán đất khai hoang chuyển nhượng quyền sử dụng đất cho ông Nguyễn Minh Nguyên và bà Lê Thị Thành, giấy viết tay, không có xác nhận của cơ quan có thẩm quyền.
Diện tích kê khai sử dụng của hộ bà Lê Thị Thành là:
- Tổng diện tích đất: 174,0m²
- Diện tích thu hồi: 174,0m2
- Diện tích còn lại: 0m2
- Loại đất: BHK </t>
    </r>
    <r>
      <rPr>
        <i/>
        <sz val="14"/>
        <rFont val="Times New Roman"/>
        <family val="1"/>
      </rPr>
      <t>(Theo hồ sơ địa chính năm 2015+2002)</t>
    </r>
    <r>
      <rPr>
        <sz val="14"/>
        <rFont val="Times New Roman"/>
        <family val="1"/>
      </rPr>
      <t xml:space="preserve">.
</t>
    </r>
    <r>
      <rPr>
        <b/>
        <sz val="14"/>
        <rFont val="Times New Roman"/>
        <family val="1"/>
      </rPr>
      <t>- Thời điểm sử dụng đấ</t>
    </r>
    <r>
      <rPr>
        <sz val="14"/>
        <rFont val="Times New Roman"/>
        <family val="1"/>
      </rPr>
      <t xml:space="preserve">t: sau 2015.
</t>
    </r>
    <r>
      <rPr>
        <b/>
        <sz val="14"/>
        <rFont val="Times New Roman"/>
        <family val="1"/>
      </rPr>
      <t>-Thời điểm hình thành tài sản, vật kiến trúc</t>
    </r>
    <r>
      <rPr>
        <sz val="14"/>
        <rFont val="Times New Roman"/>
        <family val="1"/>
      </rPr>
      <t xml:space="preserve">: Sau năm 2015 đến trước thông báo thu hồi đất. (Hiện trạng trên đất có nhà)
</t>
    </r>
    <r>
      <rPr>
        <b/>
        <sz val="14"/>
        <rFont val="Times New Roman"/>
        <family val="1"/>
      </rPr>
      <t>- Thời điểm tạo lập cây trồng, vật nuôi:</t>
    </r>
    <r>
      <rPr>
        <sz val="14"/>
        <rFont val="Times New Roman"/>
        <family val="1"/>
      </rPr>
      <t xml:space="preserve"> Sau năm 2015 đến trước thông báo thu hồi đất.
- Tổng diện tích đất nông nghiệp của hộ gia đình tại thửa đất bị thu hồi: 174,0m2 </t>
    </r>
    <r>
      <rPr>
        <i/>
        <sz val="14"/>
        <rFont val="Times New Roman"/>
        <family val="1"/>
      </rPr>
      <t xml:space="preserve">diện tích lấn đất DTL </t>
    </r>
    <r>
      <rPr>
        <b/>
        <i/>
        <sz val="14"/>
        <rFont val="Times New Roman"/>
        <family val="1"/>
      </rPr>
      <t>11,8m2</t>
    </r>
    <r>
      <rPr>
        <sz val="14"/>
        <rFont val="Times New Roman"/>
        <family val="1"/>
      </rPr>
      <t xml:space="preserve">
- Tổng diện tích đất nông nghiệp của hộ gia đình tại địa phương: 174,0m2
</t>
    </r>
    <r>
      <rPr>
        <b/>
        <sz val="14"/>
        <rFont val="Times New Roman"/>
        <family val="1"/>
      </rPr>
      <t xml:space="preserve">- Hộ bà Lê Thị Thành không trực tiếp sản xuất nông nghiệp tại vị trí thửa đất thu hồi.
=&gt; Kết luận: 
</t>
    </r>
    <r>
      <rPr>
        <sz val="14"/>
        <rFont val="Times New Roman"/>
        <family val="1"/>
      </rPr>
      <t>Nguồn gốc sử dụng đất</t>
    </r>
    <r>
      <rPr>
        <b/>
        <sz val="14"/>
        <rFont val="Times New Roman"/>
        <family val="1"/>
      </rPr>
      <t xml:space="preserve"> Thửa đất số 115, tờ bản đồ số 10 - 353599-1 </t>
    </r>
    <r>
      <rPr>
        <sz val="14"/>
        <rFont val="Times New Roman"/>
        <family val="1"/>
      </rPr>
      <t>(theo Bản đồ địa chính phường Nam Nha Trang - Đo đạc bổ sung), Tổng diện tích: 174m², diện tích thu hồi: 174m², diện tích còn lại: 0m2 thuộc Bản đồ địa chính phường Nam Nha Trang được Sở Nông nghiệp và Môi trường thẩm định ngày 05/5/2026,</t>
    </r>
    <r>
      <rPr>
        <b/>
        <sz val="14"/>
        <rFont val="Times New Roman"/>
        <family val="1"/>
      </rPr>
      <t xml:space="preserve"> thuộc </t>
    </r>
    <r>
      <rPr>
        <sz val="14"/>
        <rFont val="Times New Roman"/>
        <family val="1"/>
      </rPr>
      <t xml:space="preserve">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 
</t>
    </r>
    <r>
      <rPr>
        <b/>
        <sz val="14"/>
        <rFont val="Times New Roman"/>
        <family val="1"/>
      </rPr>
      <t xml:space="preserve">2. Quá trình sử dụng, thay đổi đất, nhà, vật kiến trúc xây dựng trên đất.
* Thay đổi về sử dụng đất: </t>
    </r>
    <r>
      <rPr>
        <sz val="14"/>
        <rFont val="Times New Roman"/>
        <family val="1"/>
      </rPr>
      <t xml:space="preserve">
- Thay đổi về diện tích, ranh giới sử dụng đất: không.
- Thay đổi về mục đích sử dụng đất: không.
</t>
    </r>
    <r>
      <rPr>
        <b/>
        <sz val="14"/>
        <rFont val="Times New Roman"/>
        <family val="1"/>
      </rPr>
      <t>* Thay đổi về nhà, vật kiến trúc, tài sản trên đất:</t>
    </r>
    <r>
      <rPr>
        <sz val="14"/>
        <rFont val="Times New Roman"/>
        <family val="1"/>
      </rPr>
      <t xml:space="preserve"> không.
</t>
    </r>
    <r>
      <rPr>
        <b/>
        <sz val="14"/>
        <rFont val="Times New Roman"/>
        <family val="1"/>
      </rPr>
      <t>* Thay đổi về địa chỉ thửa đất:</t>
    </r>
    <r>
      <rPr>
        <sz val="14"/>
        <rFont val="Times New Roman"/>
        <family val="1"/>
      </rPr>
      <t xml:space="preserve"> không
</t>
    </r>
    <r>
      <rPr>
        <b/>
        <sz val="14"/>
        <rFont val="Times New Roman"/>
        <family val="1"/>
      </rPr>
      <t xml:space="preserve">II. Tình hình tranh chấp đối với thửa đất: </t>
    </r>
    <r>
      <rPr>
        <sz val="14"/>
        <rFont val="Times New Roman"/>
        <family val="1"/>
      </rPr>
      <t xml:space="preserve">
Hiện hộ bà Lê Thị Thành đang sử dụng ổn định phần diện tích 174,0m2từ sau năm 2015 cho đến nay, không lấn chiếm, không tranh chấp, không thuộc trường hợp đất 5%, đất công, đất khác do Nhà nước quản lý, không có đơn thư ngăn chặn, tài sản không bị phong toả để đảm bảo thi hành án.
</t>
    </r>
    <r>
      <rPr>
        <b/>
        <sz val="14"/>
        <rFont val="Times New Roman"/>
        <family val="1"/>
      </rPr>
      <t>III. Trường hợp diện tích đất thể hiện trên giấy tờ về quyền sử dụng đất có sự chênh lệch so với diện tích đất thực tế đang sử dụng:</t>
    </r>
    <r>
      <rPr>
        <sz val="14"/>
        <rFont val="Times New Roman"/>
        <family val="1"/>
      </rPr>
      <t xml:space="preserve">
- Diện tích theo giấy tờ:m2
- Diện tích đất thực tế đang sử dụng: m2
- Diện tích đất chênh lệch tăng/giảm: </t>
    </r>
    <r>
      <rPr>
        <i/>
        <sz val="14"/>
        <rFont val="Times New Roman"/>
        <family val="1"/>
      </rPr>
      <t xml:space="preserve">
</t>
    </r>
    <r>
      <rPr>
        <b/>
        <sz val="14"/>
        <rFont val="Times New Roman"/>
        <family val="1"/>
      </rPr>
      <t>IV. 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t>
    </r>
    <r>
      <rPr>
        <i/>
        <sz val="14"/>
        <rFont val="Times New Roman"/>
        <family val="1"/>
      </rPr>
      <t xml:space="preserve">
</t>
    </r>
    <r>
      <rPr>
        <sz val="14"/>
        <rFont val="Times New Roman"/>
        <family val="1"/>
      </rPr>
      <t xml:space="preserve">- Địa chỉ đất giải tỏa: Tổ dân phố Vĩnh Xuân, phường Nam Nha Trang.
Hai địa chỉ là cùng một thửa đất.
</t>
    </r>
    <r>
      <rPr>
        <b/>
        <sz val="14"/>
        <rFont val="Times New Roman"/>
        <family val="1"/>
      </rPr>
      <t>V. Các loại giấy tờ, tài liệu, người làm chứng làm căn cứ xác nhận các nội dung trên: (Giấy tờ kèm theo hồ sơ)</t>
    </r>
    <r>
      <rPr>
        <sz val="14"/>
        <rFont val="Times New Roman"/>
        <family val="1"/>
      </rPr>
      <t xml:space="preserve">
- Hồ sơ địa chính xã năm 2002, 2015;
- Biên bản họp xác minh nguồn gốc nhà, đất ngày 27/7/2026;
- Biên bản kiểm kê khối lượng giải tỏa ngày 23/6/2026;
- Phiếu xác nhận kết quả đo đạc địa chính thửa đất số 115 tờ bản đồ số 10;
- Bản tự kê khai ngày của bà Lê Thị Thành.
- CCCD số 038192019519  do Cục QLHC về TTXH cấp ngày 08/11/2022 cho Bà Lê Thị Thành  
- Giấy chuyển nhượng quyền sử dụng đất của ông Nguyễn Ọ chuyển nhượng cho bà Lê Thị Thành không có xác nhận của cơ quan có thẩm quyền.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t>
    </r>
  </si>
  <si>
    <r>
      <rPr>
        <b/>
        <sz val="14"/>
        <rFont val="Times New Roman"/>
        <family val="1"/>
      </rPr>
      <t xml:space="preserve">* Giấy xác nhận về thửa đất bị thu hồi để phục vụ cho công tác bồi thường,  hỗ trợ,  tái định cư khi Nhà nước thu hồi đất số </t>
    </r>
    <r>
      <rPr>
        <b/>
        <sz val="14"/>
        <color theme="5" tint="-0.499984740745262"/>
        <rFont val="Times New Roman"/>
        <family val="1"/>
      </rPr>
      <t>9893</t>
    </r>
    <r>
      <rPr>
        <b/>
        <sz val="14"/>
        <rFont val="Times New Roman"/>
        <family val="1"/>
      </rPr>
      <t>/GXN-KTHTĐT ngày 04/8/2026 của Phòng Kinh tế, Hạ tầng và Đô thị phường Nam Nha Trang xác nhận:</t>
    </r>
    <r>
      <rPr>
        <sz val="14"/>
        <rFont val="Times New Roman"/>
        <family val="1"/>
      </rPr>
      <t xml:space="preserve">
</t>
    </r>
    <r>
      <rPr>
        <b/>
        <sz val="14"/>
        <rFont val="Times New Roman"/>
        <family val="1"/>
      </rPr>
      <t xml:space="preserve"> - Về thông tin nguồn gốc đất: 
* Thửa đất số 51 tờ bản đồ số 10 - 353599-1</t>
    </r>
    <r>
      <rPr>
        <sz val="14"/>
        <rFont val="Times New Roman"/>
        <family val="1"/>
      </rPr>
      <t xml:space="preserve"> (theo Bản đồ địa chính phường Nam Nha Trang - Đo đạc bổ sung), Tổng diện tích: 344,1m², diện tích thu hồi: 16,6m², diện tích còn lại: 327,5m² thuộc Bản đồ địa chính phường Nam Nha Trang được Sở Nông nghiệp và Môi trường thẩm định ngày 05/5/2026, đối chiếu tương ứng các thửa đất:
</t>
    </r>
    <r>
      <rPr>
        <i/>
        <sz val="14"/>
        <rFont val="Times New Roman"/>
        <family val="1"/>
      </rPr>
      <t>+ Theo Sổ dã ngoại và Bản đồ địa chính xã Vĩnh Thái năm 1996: Thửa đất chưa được đo vẽ.
+ Đối chiếu bản đồ và sổ mục kê năm 2002: Tương ứng phần thuộc thửa đất 447, TBĐ 07, diện tích 2785m²; loại đất Hg; không người đứng tên kê khai,</t>
    </r>
    <r>
      <rPr>
        <b/>
        <i/>
        <sz val="14"/>
        <rFont val="Times New Roman"/>
        <family val="1"/>
      </rPr>
      <t xml:space="preserve"> ghi chú UBND xã;</t>
    </r>
    <r>
      <rPr>
        <i/>
        <sz val="14"/>
        <rFont val="Times New Roman"/>
        <family val="1"/>
      </rPr>
      <t xml:space="preserve"> và một phần diện tích lấn chiếm đất giao thông (diện tích lấn chiếm là 12,6m2).
+ Đối chiếu Bản đồ ĐC và sổ mục kê năm 2015: Tương ứng một phần thửa đất số 181 tờ bản đồ số 10; diện tích 28.760.3m2; loại đất TSL do Lan đứng tên kê khai (nhưng ý kiến đại diện hộ dân - ông Trần Văn Minh cho rằng thực tế là đất của bà Nguyễn Thị Long đang quản lý sử dụng, do đoàn đo đạc tại thời điểm đó ghi nhầm); và 1 phần thửa đất số 287, TBĐ 10, diện tích: 11560,2m2; loại đất: DTL, </t>
    </r>
    <r>
      <rPr>
        <b/>
        <i/>
        <sz val="14"/>
        <rFont val="Times New Roman"/>
        <family val="1"/>
      </rPr>
      <t>do UBND phường quản lý, diện tích lấn mương là 13,3m².</t>
    </r>
    <r>
      <rPr>
        <i/>
        <sz val="14"/>
        <rFont val="Times New Roman"/>
        <family val="1"/>
      </rPr>
      <t xml:space="preserve">
+ Vị trí thửa đất thu hồi nằm trong Danh sách Kết luận thanh tra Theo Thông báo số 749/TB-UBND-TTra ngày 18/6/2025 của Chủ tịch UBND thành phố Nha Trang, đính kèm Kết luận thanh tra số 511/KL-TTra-KTXH ngày 13/6/2025 của Chánh Thanh tra thành phố Nha Trang, tại Phụ lục I – STT 952 ghi nhận: thửa đất số 447, tờ bản đồ số 07, diện tích 2.785m2 (loại đất Hg/b) thuộc Danh sách các loại đất khác do Nhà nước quản lý theo Sổ mục kê năm 2002, hiện trạng do người dân đang sử dụng.</t>
    </r>
    <r>
      <rPr>
        <sz val="14"/>
        <rFont val="Times New Roman"/>
        <family val="1"/>
      </rPr>
      <t xml:space="preserve">
</t>
    </r>
    <r>
      <rPr>
        <b/>
        <sz val="14"/>
        <rFont val="Times New Roman"/>
        <family val="1"/>
      </rPr>
      <t xml:space="preserve"> + Nguồn gốc đất:  
* Theo giấy tờ nguồn gốc đất do hộ gia đình cung cấp:</t>
    </r>
    <r>
      <rPr>
        <sz val="14"/>
        <rFont val="Times New Roman"/>
        <family val="1"/>
      </rPr>
      <t xml:space="preserve">
Nguồn gốc đất của ông Hoàng Xuân Tấc có Thông báo nộp thuế sử dụng đất nông nghiệp và thuế đất năm 2001.
Ngày 04/02/2001, ông Hoàng Xuân Tấc lập giấy chuyển nhượng quyền sử dụng đìa nuôi tôm cho bà Nguyễn Thị Long, giấy viết tay, không có xác nhận của cơ quan có thẩm quyền.
Ngày 14/3/2007, bà Nguyễn Thị Long lập giấy chuyển nhượng quyền sử dụng đất gò cho bà Trần Thị Tâm, giấy viết tay, không có xác nhận của cơ quan có thẩm quyền.
</t>
    </r>
    <r>
      <rPr>
        <b/>
        <sz val="14"/>
        <rFont val="Times New Roman"/>
        <family val="1"/>
      </rPr>
      <t>Diện tích kê khai sử dụng của hộ bà Trần Thị Tâm là 344,1m², trong đó:</t>
    </r>
    <r>
      <rPr>
        <sz val="14"/>
        <rFont val="Times New Roman"/>
        <family val="1"/>
      </rPr>
      <t xml:space="preserve">
- Tổng diện tích đất: 344,1m²
- Diện tích thu hồi: 16,6m² </t>
    </r>
    <r>
      <rPr>
        <b/>
        <i/>
        <sz val="14"/>
        <rFont val="Times New Roman"/>
        <family val="1"/>
      </rPr>
      <t>(trong đó 13,3m² đất lấn mương)</t>
    </r>
    <r>
      <rPr>
        <sz val="14"/>
        <rFont val="Times New Roman"/>
        <family val="1"/>
      </rPr>
      <t xml:space="preserve">
- Diện tích còn lại: 327,5m²
- Loại đất: TSL+ DTL (Theo hồ sơ địa chính năm 2015+2002) nhưng hộ dân đã tự sang lấp mặt bằng và sử dụng vào mục đích khác.
- Thời điểm sử dụng đất: sau năm 2015.
-Thời điểm hình thành tài sản, vật kiến trúc: Sau năm 2015 đến trước thông báo thu hồi đất. (Hiện trạng trên đất có nhà)
- Thời điểm tạo lập cây trồng, vật nuôi: Sau năm 2015 đến trước thông báo thu hồi đất.
- Tổng diện tích đất nông nghiệp của hộ gia đình tại thửa đất bị thu hồi: 16,6m²</t>
    </r>
    <r>
      <rPr>
        <b/>
        <sz val="14"/>
        <rFont val="Times New Roman"/>
        <family val="1"/>
      </rPr>
      <t xml:space="preserve"> (diện tích 13,3m² lấn đất lấn mương)</t>
    </r>
    <r>
      <rPr>
        <sz val="14"/>
        <rFont val="Times New Roman"/>
        <family val="1"/>
      </rPr>
      <t xml:space="preserve">
- Tổng diện tích đất nông nghiệp của hộ gia đình tại địa phương: 344,1m2
</t>
    </r>
    <r>
      <rPr>
        <b/>
        <sz val="14"/>
        <rFont val="Times New Roman"/>
        <family val="1"/>
      </rPr>
      <t xml:space="preserve">- Hộ bà Trần Thị Tâm không trực tiếp sản xuất tại vị trí thửa đất thu hồi.
=&gt; Kết luận: 
</t>
    </r>
    <r>
      <rPr>
        <sz val="14"/>
        <rFont val="Times New Roman"/>
        <family val="1"/>
      </rPr>
      <t>Nguồn gốc sử dụng đất</t>
    </r>
    <r>
      <rPr>
        <b/>
        <sz val="14"/>
        <rFont val="Times New Roman"/>
        <family val="1"/>
      </rPr>
      <t xml:space="preserve"> Thửa đất số 51, tờ bản đồ số 10 - 353599-1 </t>
    </r>
    <r>
      <rPr>
        <sz val="14"/>
        <rFont val="Times New Roman"/>
        <family val="1"/>
      </rPr>
      <t>(theo Bản đồ địa chính phường Nam Nha Trang - Đo đạc bổ sung), Tổng diện tích: 344,1m², diện tích thu hồi: 16,6m², diện tích còn lại: 327,5m2</t>
    </r>
    <r>
      <rPr>
        <b/>
        <sz val="14"/>
        <rFont val="Times New Roman"/>
        <family val="1"/>
      </rPr>
      <t xml:space="preserve"> thuộc </t>
    </r>
    <r>
      <rPr>
        <sz val="14"/>
        <rFont val="Times New Roman"/>
        <family val="1"/>
      </rPr>
      <t xml:space="preserve">Bản đồ địa chính phường Nam Nha Trang được Sở Nông nghiệp và Môi trường thẩm định ngày 05/5/2026,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
</t>
    </r>
    <r>
      <rPr>
        <b/>
        <sz val="14"/>
        <rFont val="Times New Roman"/>
        <family val="1"/>
      </rPr>
      <t>- Quá trình sử dụng, thay đổi đất, nhà, vật kiến trúc xây dựng trên đất:</t>
    </r>
    <r>
      <rPr>
        <sz val="14"/>
        <rFont val="Times New Roman"/>
        <family val="1"/>
      </rPr>
      <t xml:space="preserve">
</t>
    </r>
    <r>
      <rPr>
        <b/>
        <sz val="14"/>
        <rFont val="Times New Roman"/>
        <family val="1"/>
      </rPr>
      <t>* Thay đổi về sử dụng đất:</t>
    </r>
    <r>
      <rPr>
        <sz val="14"/>
        <rFont val="Times New Roman"/>
        <family val="1"/>
      </rPr>
      <t xml:space="preserve"> 
- Thay đổi về diện tích, ranh giới sử dụng đất: không.
- Thay đổi về mục đích sử dụng đất: không.
* Thay đổi về nhà, vật kiến trúc, tài sản trên đất: không.
* Thay đổi về địa chỉ thửa đất: không
</t>
    </r>
    <r>
      <rPr>
        <b/>
        <sz val="14"/>
        <rFont val="Times New Roman"/>
        <family val="1"/>
      </rPr>
      <t xml:space="preserve">* Tình hình tranh chấp đối với thửa đất: </t>
    </r>
    <r>
      <rPr>
        <sz val="14"/>
        <rFont val="Times New Roman"/>
        <family val="1"/>
      </rPr>
      <t xml:space="preserve">
- Hiện hộ bà Trần Thị Tâm đang sử dụng ổn định phần diện tích 344,1m2từ sau năm 2015 cho đến nay, không lấn chiếm, không tranh chấp, không thuộc trường hợp đất 5%, đất công, đất khác do Nhà nước quản lý, không có đơn thư ngăn chặn, tài sản không bị phong toả để đảm bảo thi hành án.
</t>
    </r>
    <r>
      <rPr>
        <b/>
        <sz val="14"/>
        <rFont val="Times New Roman"/>
        <family val="1"/>
      </rPr>
      <t>* Trường hợp diện tích đất thể hiện trên giấy tờ về quyền sử dụng đất có sự chênh lệch so với diện tích đất thực tế đang sử dụng:</t>
    </r>
    <r>
      <rPr>
        <sz val="14"/>
        <rFont val="Times New Roman"/>
        <family val="1"/>
      </rPr>
      <t xml:space="preserve">
- Diện tích theo giấy tờ:m²
- Diện tích đất thực tế đang sử dụng: m²
- Diện tích đất chênh lệch tăng/giảm: 
</t>
    </r>
    <r>
      <rPr>
        <b/>
        <sz val="14"/>
        <rFont val="Times New Roman"/>
        <family val="1"/>
      </rPr>
      <t>* 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rFont val="Times New Roman"/>
        <family val="1"/>
      </rPr>
      <t>* Các loại giấy tờ, tài liệu, người làm chứng làm căn cứ xác nhận các nội dung trên:</t>
    </r>
    <r>
      <rPr>
        <i/>
        <sz val="14"/>
        <rFont val="Times New Roman"/>
        <family val="1"/>
      </rPr>
      <t xml:space="preserve"> (Giấy tờ kèm theo hồ sơ)</t>
    </r>
    <r>
      <rPr>
        <sz val="14"/>
        <rFont val="Times New Roman"/>
        <family val="1"/>
      </rPr>
      <t xml:space="preserve">
- Hồ sơ địa chính xã năm 2002, 2015;
- Biên bản họp xác minh nguồn gốc nhà, đất ngày 27/7/2026;
- Biên bản kiểm kê khối lượng giải tỏa ngày 19/6/2026;
- Phiếu xác nhận kết quả đo đạc địa chính Thửa đất số 51, tờ bản đồ số 10;
- Bản tự kê khai ngày của bà Trần Thị Tâm;
- Giấy chuyển nhượng quyền sử dụng đìa tôm của ông Hoàng Xuân Tấc chuyển nhượng cho bà Nguyễn Thị Long, giấy viết tay ký ngày 04/02/2001, không có xác nhận của cơ quan có thẩm quyền.
- Giấy chuyển nhượng đất gò của ông Nguyễn Thị Long chuyển nhượng quyền sử dụng đất cho bà Trần Thị Tâm, giấy viết tay ký ngày 14/3/2007, không có xác nhận của cơ quan có thẩm quyền.
- CCCD số 040175027280 do Cục QLHC về TTXH cấp ngày 01/9/2021 cho bà Trần Thị Tâm;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t>
    </r>
  </si>
  <si>
    <r>
      <t xml:space="preserve">1. Hỗ trợ đào tạo, chuyển đổi nghề và tìm kiếm việc làm: </t>
    </r>
    <r>
      <rPr>
        <i/>
        <sz val="14"/>
        <rFont val="Times New Roman"/>
        <family val="1"/>
      </rPr>
      <t>(Hộ bà Lê Thị Mỹ Hòa không trực tiếp sản xuất nông nghiệp trên đất)</t>
    </r>
  </si>
  <si>
    <r>
      <t>2. Hỗ trợ ổn định đời sống</t>
    </r>
    <r>
      <rPr>
        <i/>
        <sz val="14"/>
        <rFont val="Times New Roman"/>
        <family val="1"/>
      </rPr>
      <t xml:space="preserve"> (Hộ bà Lê Thị Mỹ Hòa thực tế không canh tác nông nghiệp trên đất)</t>
    </r>
  </si>
  <si>
    <t>Hộ bà Nguyễn Thị Cẩm Vân</t>
  </si>
  <si>
    <r>
      <t xml:space="preserve">* Căn cứ pháp lý áp dụng:
- Biên bản kiểm kê khối lượng giải tỏa: </t>
    </r>
    <r>
      <rPr>
        <sz val="14"/>
        <rFont val="Times New Roman"/>
        <family val="1"/>
      </rPr>
      <t>ngày 23/6/2026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 xml:space="preserve">Quyết định số 32/2026/QĐ-UBND ngày 29/4/2026 của UBND tỉnh Khánh Hòa Quy định một số biện pháp hỗ trợ khác khi Nhà nước thu hồi đất trên địa bàn tỉnh Khánh Hòa.
- Căn cứ Biên bản làm việc về nội dung: xác minh tình trạng sinh sống ăn ở thực tế tại địa phương ngày 19/8/2026 Tổ công tác xác nhận </t>
    </r>
    <r>
      <rPr>
        <b/>
        <sz val="14"/>
        <rFont val="Times New Roman"/>
        <family val="1"/>
      </rPr>
      <t>bà Nguyễn Thị Cẩm Vân thường xuyên sinh sống, ăn ở, sinh hoạt</t>
    </r>
    <r>
      <rPr>
        <sz val="14"/>
        <rFont val="Times New Roman"/>
        <family val="1"/>
      </rPr>
      <t xml:space="preserve"> tại khu vực UBND phường Nam Nha Trang ban hành Thông báo số 2510/TB-UBND ngày 15/05/2026 về việc thu hồi đất để thực hiện dự án Bệnh viện đa khoa tỉnh Khánh Hòa.</t>
    </r>
  </si>
  <si>
    <r>
      <t xml:space="preserve">1. Hỗ trợ đào tạo, chuyển đổi nghề và tìm kiếm việc làm: </t>
    </r>
    <r>
      <rPr>
        <i/>
        <sz val="14"/>
        <rFont val="Times New Roman"/>
        <family val="1"/>
      </rPr>
      <t>(Hộ bà Nguyễn Thị Cẩm Vân không trực tiếp sản xuất nông nghiệp trên đất)</t>
    </r>
  </si>
  <si>
    <r>
      <t>2. Hỗ trợ ổn định đời sống</t>
    </r>
    <r>
      <rPr>
        <i/>
        <sz val="14"/>
        <rFont val="Times New Roman"/>
        <family val="1"/>
      </rPr>
      <t xml:space="preserve"> (Hộ bà Nguyễn Thị Cẩm Vân thực tế không canh tác nông nghiệp trên đất)</t>
    </r>
  </si>
  <si>
    <r>
      <rPr>
        <b/>
        <sz val="14"/>
        <rFont val="Times New Roman"/>
        <family val="1"/>
      </rPr>
      <t>"* Giấy xác nhận về thửa đất bị thu hồi để phục vụ cho công tác bồi thường,  hỗ trợ,  tái định cư khi Nhà nước thu hồi đất số 9894/GXN-KTHTĐT ngày 04/8/2026 của Phòng Kinh tế, Hạ tầng và Đô thị phường Nam Nha Trang xác nhận:</t>
    </r>
    <r>
      <rPr>
        <sz val="14"/>
        <rFont val="Times New Roman"/>
        <family val="1"/>
      </rPr>
      <t xml:space="preserve">
</t>
    </r>
    <r>
      <rPr>
        <b/>
        <sz val="14"/>
        <rFont val="Times New Roman"/>
        <family val="1"/>
      </rPr>
      <t xml:space="preserve"> - Về thông tin nguồn gốc đất:</t>
    </r>
    <r>
      <rPr>
        <sz val="14"/>
        <rFont val="Times New Roman"/>
        <family val="1"/>
      </rPr>
      <t xml:space="preserve"> 
</t>
    </r>
    <r>
      <rPr>
        <b/>
        <sz val="14"/>
        <rFont val="Times New Roman"/>
        <family val="1"/>
      </rPr>
      <t xml:space="preserve">* Thửa đất số 60 tờ bản đồ số 10 - 353599-1 </t>
    </r>
    <r>
      <rPr>
        <sz val="14"/>
        <rFont val="Times New Roman"/>
        <family val="1"/>
      </rPr>
      <t xml:space="preserve">(theo Bản đồ địa chính phường Nam Nha Trang - Đo đạc bổ sung): Tổng diện tích: 174,5m², diện tích thu hồi: 174,5m², diện tích còn lại: 0m² thuộc Bản đồ địa chính phường Nam Nha Trang được Sở Nông nghiệp và Môi trường thẩm định ngày 05/5/2026, đối chiếu tương ứng các thửa đất:
</t>
    </r>
    <r>
      <rPr>
        <i/>
        <sz val="14"/>
        <rFont val="Times New Roman"/>
        <family val="1"/>
      </rPr>
      <t xml:space="preserve">+ Theo Sổ dã ngoại và Bản đồ địa chính xã Vĩnh Thái năm 1996: Thửa đất chưa được đo vẽ.
+ Đối chiếu sổ bản đồ và sổ mục kê năm 2002: tương ứng thửa đất số 407, TBĐ 07, diện tích 3300m², Loại đất: đất chưa sử dụng và một phần diện tích đất giao thông, ghi chú </t>
    </r>
    <r>
      <rPr>
        <b/>
        <i/>
        <sz val="14"/>
        <rFont val="Times New Roman"/>
        <family val="1"/>
      </rPr>
      <t>đất UBND xã.</t>
    </r>
    <r>
      <rPr>
        <i/>
        <sz val="14"/>
        <rFont val="Times New Roman"/>
        <family val="1"/>
      </rPr>
      <t xml:space="preserve">
+ Đối chiếu Bản đồ ĐC và sổ mục kê năm 2015: Tương ứng một phần thửa đất số 200 tờ bản đồ số 10; diện tích: 3.277,6m²; loại đất: BHK,do ông Nguyễn Văn Ọ đứng tên kê khai; + tương ứng một phần thửa đất số 287, TBĐ 10, diện tích: 11560,2m²; loại đất: DTL, </t>
    </r>
    <r>
      <rPr>
        <b/>
        <i/>
        <sz val="14"/>
        <rFont val="Times New Roman"/>
        <family val="1"/>
      </rPr>
      <t>do UBND phường quản lý</t>
    </r>
    <r>
      <rPr>
        <i/>
        <sz val="14"/>
        <rFont val="Times New Roman"/>
        <family val="1"/>
      </rPr>
      <t xml:space="preserve">, diện tích </t>
    </r>
    <r>
      <rPr>
        <b/>
        <i/>
        <sz val="14"/>
        <rFont val="Times New Roman"/>
        <family val="1"/>
      </rPr>
      <t>7,3m²</t>
    </r>
    <r>
      <rPr>
        <i/>
        <sz val="14"/>
        <rFont val="Times New Roman"/>
        <family val="1"/>
      </rPr>
      <t xml:space="preserve">
</t>
    </r>
    <r>
      <rPr>
        <b/>
        <i/>
        <sz val="14"/>
        <rFont val="Times New Roman"/>
        <family val="1"/>
      </rPr>
      <t>+ Vị trí thửa đất thu hồi nằm trong Danh sách Kết luận thanh tra</t>
    </r>
    <r>
      <rPr>
        <i/>
        <sz val="14"/>
        <rFont val="Times New Roman"/>
        <family val="1"/>
      </rPr>
      <t xml:space="preserve"> Theo Thông báo số 749/TB-UBND-TTra ngày 18/6/2025 của Chủ tịch UBND thành phố Nha Trang, đính kèm Kết luận thanh tra số 511/KL-TTra-KTXH ngày 13/6/2025 của Chánh Thanh tra thành phố Nha Trang, tại Phụ lục I – STT 949 ghi nhận: thửa đất số 407, tờ bản đồ số 07, diện tích 3.300m² (loại đất Hg/b) thuộc Danh sách các loại đất khác do Nhà nước quản lý theo Sổ mục kê năm 2002, hiện trạng do người dân đang sử dụng.</t>
    </r>
    <r>
      <rPr>
        <sz val="14"/>
        <rFont val="Times New Roman"/>
        <family val="1"/>
      </rPr>
      <t xml:space="preserve">
</t>
    </r>
    <r>
      <rPr>
        <b/>
        <sz val="14"/>
        <rFont val="Times New Roman"/>
        <family val="1"/>
      </rPr>
      <t xml:space="preserve"> + Nguồn gốc đất:  
* Theo giấy tờ nguồn gốc đất do hộ gia đình cung cấp:</t>
    </r>
    <r>
      <rPr>
        <sz val="14"/>
        <rFont val="Times New Roman"/>
        <family val="1"/>
      </rPr>
      <t xml:space="preserve">
Nguồn gốc đất do ông Nguyễn Ọ chiếm trước năm 2012. Ngày 26/4/2012, ông Nguyễn Ọ lập đơn cho quyền sử dụng đất cho con gái là bà Nguyễn Thị Cẩm Vân, giấy viết tay, không có xác nhận của cơ quan có thẩm quyền.
</t>
    </r>
    <r>
      <rPr>
        <b/>
        <sz val="14"/>
        <rFont val="Times New Roman"/>
        <family val="1"/>
      </rPr>
      <t>Diện tích kê khai sử dụng của hộ bà Nguyễn Thị Cẩm Vân là:</t>
    </r>
    <r>
      <rPr>
        <sz val="14"/>
        <rFont val="Times New Roman"/>
        <family val="1"/>
      </rPr>
      <t xml:space="preserve">
- Tổng diện tích đất: 174,5m²
- Diện tích thu hồi: 174,5m² (diện tích lấn đất thủy lợi </t>
    </r>
    <r>
      <rPr>
        <b/>
        <sz val="14"/>
        <rFont val="Times New Roman"/>
        <family val="1"/>
      </rPr>
      <t>7,3m²</t>
    </r>
    <r>
      <rPr>
        <sz val="14"/>
        <rFont val="Times New Roman"/>
        <family val="1"/>
      </rPr>
      <t>)
- Diện tích còn lại: 0m²
- Loại đất: BHK (Theo hồ sơ địa chính năm 2015+2002)
- Thời điểm sử dụng đất: sau năm 2015.
-Thời điểm hình thành tài sản, vật kiến trúc: Sau năm 2015 đến trước thông báo thu hồi đất. (Hiện trạng trên đất có nhà)
- Thời điểm tạo lập cây trồng, vật nuôi: Sau năm 2015 đến trước thông báo thu hồi đất.
- Tổng diện tích đất nông nghiệp của hộ gia đình tại thửa đất bị thu hồi: 174,5m² (diện tích lấn đất thủy lợi</t>
    </r>
    <r>
      <rPr>
        <b/>
        <sz val="14"/>
        <rFont val="Times New Roman"/>
        <family val="1"/>
      </rPr>
      <t xml:space="preserve"> 7,3m²</t>
    </r>
    <r>
      <rPr>
        <sz val="14"/>
        <rFont val="Times New Roman"/>
        <family val="1"/>
      </rPr>
      <t xml:space="preserve">)
- Tổng diện tích đất nông nghiệp của hộ gia đình tại địa phương: 174,5m²
- Hộ bà Nguyễn Thị Cẩm Vân không trực tiếp sản xuất nông nghiệp tại vị trí thửa đất thu hồi.
- Tình trạng có ăn ở, sinh hoạt tại vị trí thửa đất thu hồi: Căn cứ theo xác minh của Công an phường Nam Nha Trang về tình trạng ăn ở và quá trình cư trú của hộ gia đình tại vị trí thửa đất thu hồi.
</t>
    </r>
    <r>
      <rPr>
        <b/>
        <sz val="14"/>
        <rFont val="Times New Roman"/>
        <family val="1"/>
      </rPr>
      <t>=&gt; Kết luận:</t>
    </r>
    <r>
      <rPr>
        <sz val="14"/>
        <rFont val="Times New Roman"/>
        <family val="1"/>
      </rPr>
      <t xml:space="preserve"> 
Nguồn gốc sử dụng đất</t>
    </r>
    <r>
      <rPr>
        <b/>
        <sz val="14"/>
        <rFont val="Times New Roman"/>
        <family val="1"/>
      </rPr>
      <t xml:space="preserve"> Thửa đất số 60, tờ bản đồ số 10 - 353599-1 </t>
    </r>
    <r>
      <rPr>
        <sz val="14"/>
        <rFont val="Times New Roman"/>
        <family val="1"/>
      </rPr>
      <t xml:space="preserve">(theo Bản đồ địa chính phường Nam Nha Trang - Đo đạc bổ sung), Tổng diện tích: 174,5m², diện tích thu hồi: 174,5m², diện tích còn lại: 0m2 thuộc Bản đồ địa chính phường Nam Nha Trang được Sở Nông nghiệp và Môi trường thẩm định ngày 05/5/2026, </t>
    </r>
    <r>
      <rPr>
        <b/>
        <sz val="14"/>
        <rFont val="Times New Roman"/>
        <family val="1"/>
      </rPr>
      <t>thuộc</t>
    </r>
    <r>
      <rPr>
        <sz val="14"/>
        <rFont val="Times New Roman"/>
        <family val="1"/>
      </rPr>
      <t xml:space="preserve">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
</t>
    </r>
    <r>
      <rPr>
        <b/>
        <sz val="14"/>
        <rFont val="Times New Roman"/>
        <family val="1"/>
      </rPr>
      <t xml:space="preserve">- Quá trình sử dụng, thay đổi đất, nhà, vật kiến trúc xây dựng trên đất:
</t>
    </r>
    <r>
      <rPr>
        <sz val="14"/>
        <rFont val="Times New Roman"/>
        <family val="1"/>
      </rPr>
      <t xml:space="preserve">*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rFont val="Times New Roman"/>
        <family val="1"/>
      </rPr>
      <t xml:space="preserve">* Tình hình tranh chấp đối với thửa đất: </t>
    </r>
    <r>
      <rPr>
        <sz val="14"/>
        <rFont val="Times New Roman"/>
        <family val="1"/>
      </rPr>
      <t xml:space="preserve">
- Hiện hộ bà Nguyễn Thị Cẩm Vân đang sử dụng ổn định phần diện tích 174,5m2từ sau năm 2015 cho đến nay, không lấn chiếm, không tranh chấp, không thuộc trường hợp đất 5%, đất công, đất khác do Nhà nước quản lý, không có đơn thư ngăn chặn, tài sản không bị phong toả để đảm bảo thi hành án.
</t>
    </r>
    <r>
      <rPr>
        <b/>
        <sz val="14"/>
        <rFont val="Times New Roman"/>
        <family val="1"/>
      </rPr>
      <t>* Trường hợp diện tích đất thể hiện trên giấy tờ về quyền sử dụng đất có sự chênh lệch so với diện tích đất thực tế đang sử dụng:</t>
    </r>
    <r>
      <rPr>
        <sz val="14"/>
        <rFont val="Times New Roman"/>
        <family val="1"/>
      </rPr>
      <t xml:space="preserve">
- Diện tích theo giấy tờ:m²
- Diện tích đất thực tế đang sử dụng: m²
- Diện tích đất chênh lệch tăng/giảm: 
</t>
    </r>
    <r>
      <rPr>
        <b/>
        <sz val="14"/>
        <rFont val="Times New Roman"/>
        <family val="1"/>
      </rPr>
      <t>* 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rFont val="Times New Roman"/>
        <family val="1"/>
      </rPr>
      <t xml:space="preserve">* Các loại giấy tờ, tài liệu, người làm chứng làm căn cứ xác nhận các nội dung trên: </t>
    </r>
    <r>
      <rPr>
        <i/>
        <sz val="14"/>
        <rFont val="Times New Roman"/>
        <family val="1"/>
      </rPr>
      <t>(Giấy tờ kèm theo hồ sơ)</t>
    </r>
    <r>
      <rPr>
        <sz val="14"/>
        <rFont val="Times New Roman"/>
        <family val="1"/>
      </rPr>
      <t xml:space="preserve">
- Hồ sơ địa chính xã năm 2002, 2015;
- Biên bản họp xác minh nguồn gốc nhà, đất ngày 27/7/2026;
- Biên bản kiểm kê khối lượng giải tỏa ngày 23/6/2026;
- Phiếu xác nhận kết quả đo đạc địa chính Thửa đất số 60, tờ bản đồ số 10;
- Bản tự kê khai ngày của bà Nguyễn Thị Cẩm Vân;
- Giấy cho quyền sử dụng đất của ông Nguyễn Ọ cho bà Nguyễn Thị Cẩm Vân, giấy viết tay ký ngày 26/4/2012 không có xác nhận của cơ quan có thẩm quyền.
- Sổ tạm trú số 330062523 do Công an xã Vĩnh Thái cấp ngày 20/12/2011.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t>
    </r>
  </si>
  <si>
    <r>
      <rPr>
        <b/>
        <sz val="14"/>
        <rFont val="Times New Roman"/>
        <family val="1"/>
      </rPr>
      <t xml:space="preserve">"* Giấy xác nhận về thửa đất bị thu hồi để phục vụ cho công tác bồi thường,  hỗ trợ,  tái định cư khi Nhà nước thu hồi đất số 9896/GXN-KTHTĐT ngày 04/8/2026 của Phòng Kinh tế, Hạ tầng và Đô thị phường Nam Nha Trang xác nhận:
 - Về thông tin nguồn gốc đất: </t>
    </r>
    <r>
      <rPr>
        <sz val="14"/>
        <rFont val="Times New Roman"/>
        <family val="1"/>
      </rPr>
      <t xml:space="preserve">
</t>
    </r>
    <r>
      <rPr>
        <b/>
        <sz val="14"/>
        <rFont val="Times New Roman"/>
        <family val="1"/>
      </rPr>
      <t xml:space="preserve">* Thửa đất số 62 tờ bản đồ số 10 - 353599-1 </t>
    </r>
    <r>
      <rPr>
        <sz val="14"/>
        <rFont val="Times New Roman"/>
        <family val="1"/>
      </rPr>
      <t xml:space="preserve">(theo Bản đồ địa chính phường Nam Nha Trang - Đo đạc bổ sung): Tổng diện tích: 95,5m², diện tích thu hồi: 95,5m², diện tích còn lại: 0m² thuộc Bản đồ địa chính phường Nam Nha Trang được Sở Nông nghiệp và Môi trường thẩm định ngày 05/5/2026, đối chiếu tương ứng các thửa đất:
</t>
    </r>
    <r>
      <rPr>
        <i/>
        <sz val="14"/>
        <rFont val="Times New Roman"/>
        <family val="1"/>
      </rPr>
      <t xml:space="preserve">+ Theo Sổ dã ngoại và Bản đồ địa chính xã Vĩnh Thái năm 1996: Thửa đất chưa được đo vẽ.
+ Đối chiếu bản đồ và sổ mục kê năm 2002: Thửa đất thu hồi tương ứng thửa đất số 407, TBĐ 07, diện tích 3300m² , Loại đất: đất chưa sử dụng. Ghi chú đất UBND xã.
+ Đối chiếu Bản đồ ĐC và sổ mục kê năm 2015: Thửa đất thu hồi tương ứng một phần thửa đất số 200 tờ bản đồ số 10, diện tích: 3.277,6m², loại đất: BHK, do ông Nguyễn Văn Ọ đứng tên kê khai.
+ </t>
    </r>
    <r>
      <rPr>
        <b/>
        <i/>
        <sz val="14"/>
        <rFont val="Times New Roman"/>
        <family val="1"/>
      </rPr>
      <t xml:space="preserve">Vị trí thửa đất thu hồi nằm trong Danh sách Kết luận thanh tra </t>
    </r>
    <r>
      <rPr>
        <i/>
        <sz val="14"/>
        <rFont val="Times New Roman"/>
        <family val="1"/>
      </rPr>
      <t>Theo Thông báo số 749/TB-UBND-TTra ngày 18/6/2025 của Chủ tịch UBND thành phố Nha Trang, đính kèm Kết luận thanh tra số 511/KL-TTra-KTXH ngày 13/6/2025 của Chánh Thanh tra thành phố Nha Trang, tại Phụ lục I – STT 949 ghi nhận: thửa đất số 407, tờ bản đồ số 07, diện tích 3.300m2 (loại đất Hg/b) thuộc Danh sách các loại đất khác do Nhà nước quản lý theo Sổ mục kê năm 2002, hiện trạng do người dân đang sử dụng.</t>
    </r>
    <r>
      <rPr>
        <sz val="14"/>
        <rFont val="Times New Roman"/>
        <family val="1"/>
      </rPr>
      <t xml:space="preserve">
</t>
    </r>
    <r>
      <rPr>
        <b/>
        <sz val="14"/>
        <rFont val="Times New Roman"/>
        <family val="1"/>
      </rPr>
      <t xml:space="preserve"> + Nguồn gốc đất:  
* Theo giấy tờ nguồn gốc đất do hộ gia đình cung cấp:</t>
    </r>
    <r>
      <rPr>
        <sz val="14"/>
        <rFont val="Times New Roman"/>
        <family val="1"/>
      </rPr>
      <t xml:space="preserve">
Nguồn gốc đất do ông Nguyễn Ọ chiếm trước năm 2012. Ngày 20/4/2011, ông Nguyễn Ọ lập đơn cho quyền sử dụng đất cho con trai là ông Nguyễn Thành Tâm và con dâu là bà Lê Thị Dầu, giấy viết tay, không có xác nhận của cơ quan có thẩm quyền.
Sau đó, ông Nguyễn Thành Tâm và vợ là bà Lê Thị Dầu lập đơn cho quyền sử dụng đất cho con gái là bà Lê Thị Mỹ Hòa, giấy viết tay không ghi thời gian lập, không có xác nhận của cơ quan có thẩm quyền.
</t>
    </r>
    <r>
      <rPr>
        <b/>
        <sz val="14"/>
        <rFont val="Times New Roman"/>
        <family val="1"/>
      </rPr>
      <t>Diện tích kê khai sử dụng của bà Lê Thị Mỹ Hòa là:</t>
    </r>
    <r>
      <rPr>
        <sz val="14"/>
        <rFont val="Times New Roman"/>
        <family val="1"/>
      </rPr>
      <t xml:space="preserve">
- Tổng diện tích đất: 95,5m²
- Diện tích thu hồi: 95,5m² 
- Diện tích còn lại: 0m²
- Loại đất: BHK</t>
    </r>
    <r>
      <rPr>
        <i/>
        <sz val="14"/>
        <rFont val="Times New Roman"/>
        <family val="1"/>
      </rPr>
      <t xml:space="preserve"> (Theo hồ sơ địa chính năm 2015).</t>
    </r>
    <r>
      <rPr>
        <sz val="14"/>
        <rFont val="Times New Roman"/>
        <family val="1"/>
      </rPr>
      <t xml:space="preserve">
- Thời điểm sử dụng đất: sau 2015 theo HSĐC 2015 .
-Thời điểm hình thành tài sản, vật kiến trúc: Sau năm 2015 đến trước thông báo thu hồi đất.
- Thời điểm tạo lập cây trồng, vật nuôi: Sau năm 2015 đến trước thông báo thu hồi đất.
- Tổng diện tích đất nông nghiệp của hộ gia đình tại thửa đất bị thu hồi: 95,5m²</t>
    </r>
    <r>
      <rPr>
        <b/>
        <sz val="14"/>
        <rFont val="Times New Roman"/>
        <family val="1"/>
      </rPr>
      <t xml:space="preserve"> </t>
    </r>
    <r>
      <rPr>
        <sz val="14"/>
        <rFont val="Times New Roman"/>
        <family val="1"/>
      </rPr>
      <t>(diện tích lấn giao thông</t>
    </r>
    <r>
      <rPr>
        <b/>
        <sz val="14"/>
        <rFont val="Times New Roman"/>
        <family val="1"/>
      </rPr>
      <t xml:space="preserve"> 2,6m²)</t>
    </r>
    <r>
      <rPr>
        <sz val="14"/>
        <rFont val="Times New Roman"/>
        <family val="1"/>
      </rPr>
      <t xml:space="preserve">
- Tổng diện tích đất nông nghiệp của hộ gia đình tại địa phương: 95,5m²
</t>
    </r>
    <r>
      <rPr>
        <b/>
        <sz val="14"/>
        <rFont val="Times New Roman"/>
        <family val="1"/>
      </rPr>
      <t xml:space="preserve">- Hộ bà Lê Thị Mỹ Hòa không trực tiếp sản xuất nông nghiệp tại vị trí thửa đất thu hồi.  
=&gt; Kết luận: 
</t>
    </r>
    <r>
      <rPr>
        <sz val="14"/>
        <rFont val="Times New Roman"/>
        <family val="1"/>
      </rPr>
      <t>Nguồn gốc sử dụng đất</t>
    </r>
    <r>
      <rPr>
        <b/>
        <sz val="14"/>
        <rFont val="Times New Roman"/>
        <family val="1"/>
      </rPr>
      <t xml:space="preserve"> Thửa đất số 62, tờ bản đồ số 10 - 353599-1</t>
    </r>
    <r>
      <rPr>
        <sz val="14"/>
        <rFont val="Times New Roman"/>
        <family val="1"/>
      </rPr>
      <t xml:space="preserve"> (theo Bản đồ địa chính phường Nam Nha Trang - Đo đạc bổ sung), Tổng diện tích: 95,5m², diện tích thu hồi: 95,5m², diện tích còn lại: 0m2</t>
    </r>
    <r>
      <rPr>
        <b/>
        <sz val="14"/>
        <rFont val="Times New Roman"/>
        <family val="1"/>
      </rPr>
      <t xml:space="preserve"> thuộc </t>
    </r>
    <r>
      <rPr>
        <sz val="14"/>
        <rFont val="Times New Roman"/>
        <family val="1"/>
      </rPr>
      <t>Bản đồ địa chính phường Nam Nha Trang được Sở Nông nghiệp và Môi trường thẩm định ngày 05/5/2026, thuộc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t>
    </r>
    <r>
      <rPr>
        <b/>
        <sz val="14"/>
        <rFont val="Times New Roman"/>
        <family val="1"/>
      </rPr>
      <t xml:space="preserve">
- Quá trình sử dụng, thay đổi đất, nhà, vật kiến trúc xây dựng trên đất:</t>
    </r>
    <r>
      <rPr>
        <sz val="14"/>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rFont val="Times New Roman"/>
        <family val="1"/>
      </rPr>
      <t xml:space="preserve">* Tình hình tranh chấp đối với thửa đất: </t>
    </r>
    <r>
      <rPr>
        <sz val="14"/>
        <rFont val="Times New Roman"/>
        <family val="1"/>
      </rPr>
      <t xml:space="preserve">
- Hiện hộ bà Lê Thị Mỹ Hòa đang sử dụng ổn định phần diện tích 95,5m2từ sau năm 2015 cho đến nay, không lấn chiếm, không tranh chấp, không thuộc trường hợp đất 5%, đất công, đất khác do Nhà nước quản lý, không có đơn thư ngăn chặn, tài sản không bị phong toả để đảm bảo thi hành án.
</t>
    </r>
    <r>
      <rPr>
        <b/>
        <sz val="14"/>
        <rFont val="Times New Roman"/>
        <family val="1"/>
      </rPr>
      <t>* Trường hợp diện tích đất thể hiện trên giấy tờ về quyền sử dụng đất có sự chênh lệch so với diện tích đất thực tế đang sử dụng:</t>
    </r>
    <r>
      <rPr>
        <sz val="14"/>
        <rFont val="Times New Roman"/>
        <family val="1"/>
      </rPr>
      <t xml:space="preserve">
- Diện tích theo giấy tờ:m²
- Diện tích đất thực tế đang sử dụng: m²
- Diện tích đất chênh lệch tăng/giảm: 
</t>
    </r>
    <r>
      <rPr>
        <b/>
        <sz val="14"/>
        <rFont val="Times New Roman"/>
        <family val="1"/>
      </rPr>
      <t>* 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rFont val="Times New Roman"/>
        <family val="1"/>
      </rPr>
      <t xml:space="preserve">* Các loại giấy tờ, tài liệu, người làm chứng làm căn cứ xác nhận các nội dung trên: </t>
    </r>
    <r>
      <rPr>
        <i/>
        <sz val="14"/>
        <rFont val="Times New Roman"/>
        <family val="1"/>
      </rPr>
      <t>(Giấy tờ kèm theo hồ sơ)</t>
    </r>
    <r>
      <rPr>
        <sz val="14"/>
        <rFont val="Times New Roman"/>
        <family val="1"/>
      </rPr>
      <t xml:space="preserve">
- Hồ sơ địa chính xã năm 2002, 2015;
- Biên bản họp xác minh nguồn gốc nhà, đất ngày 27/7/2026;
- Biên bản kiểm kê khối lượng giải tỏa ngày 23/6/2026;
- Phiếu xác nhận kết quả đo đạc địa chính Thửa đất số 51, tờ bản đồ số 10;
- Bản tự kê khai ngày của bà Lê Thị Mỹ Hòa;
- Giấy cho quyền sử dụng đất của ông Nguyễn Ọ cho ông Nguyễn Thành Tâm và bà Lê Thị Dầu, giấy viết tay ký ngày 20/4/2011 không có xác nhận của cơ quan có thẩm quyền.
- Giấy cho quyền sử dụng đất củaông Nguyễn Thành Tâm và bà Lê Thị Dầu cho con là bà Lê Thị Mỹ Hòa, giấy viết tay, không có xác nhận của cơ quan có thẩm quyền.
- CCCD số 056304011093 do Cục QLHC về TTXH cấp ngày 01/9/2021 cho bà Lê Thị Mỹ Hòa;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</si>
  <si>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t>- Chùm ngây loại B: 01 cây</t>
  </si>
  <si>
    <t>Hộ ông Nguyễn Thành Tâm
 và bà Lê Thị Dầu</t>
  </si>
  <si>
    <t>- Nhà tường xây gạch  cao 3,3m, cửa sắt, mái tole, cột kèo sắt, nền gạch men, không trần, không nhà vệ sinh, móng đá chẻ
DT = 9,9m x 8,44m = 83,56 m²</t>
  </si>
  <si>
    <t>- Cổng khung sắt  + lưới B40, diện tích  cao 2,4 m dài 3,6 m</t>
  </si>
  <si>
    <t>Hộ ông Nguyễn Thanh Minh 
và bà Lê Thị Ngọc Bích</t>
  </si>
  <si>
    <r>
      <t>- Mái che cột kèo gỗ tiêu chuẩn, mái lợp tole, nền đất.DT: 2,7m x 1,8m = 4,86m²
DTGT: 2,74m</t>
    </r>
    <r>
      <rPr>
        <vertAlign val="superscript"/>
        <sz val="14"/>
        <rFont val="Times New Roman"/>
        <family val="1"/>
      </rPr>
      <t>2</t>
    </r>
    <r>
      <rPr>
        <sz val="14"/>
        <rFont val="Times New Roman"/>
        <family val="1"/>
      </rPr>
      <t xml:space="preserve">
DTCL: 2,12m</t>
    </r>
    <r>
      <rPr>
        <vertAlign val="superscript"/>
        <sz val="14"/>
        <rFont val="Times New Roman"/>
        <family val="1"/>
      </rPr>
      <t>2</t>
    </r>
  </si>
  <si>
    <t>- Mái che cột kèo gỗ tiêu chuẩn, mái lợp tole, nền xi măng
DT = 1,7m x 4m = 6,8m²xd</t>
  </si>
  <si>
    <t>- Mái che cột kèo gỗ tiêu chuẩn, mái lợp tole, nền xi măng
DT = 1,5m x 2,9m = 4,35m²xd</t>
  </si>
  <si>
    <r>
      <t xml:space="preserve">- </t>
    </r>
    <r>
      <rPr>
        <sz val="14"/>
        <rFont val="Times New Roman"/>
        <family val="1"/>
      </rPr>
      <t>Móng đá chẻ (nằm dưới mái che)
[(4,4m x 2m) + (2,9m x 2m)] x 0,4 x 0,2 = 1,168m</t>
    </r>
    <r>
      <rPr>
        <vertAlign val="superscript"/>
        <sz val="14"/>
        <rFont val="Times New Roman"/>
        <family val="1"/>
      </rPr>
      <t>3</t>
    </r>
  </si>
  <si>
    <r>
      <t xml:space="preserve"> * Giấy xác nhận về thửa đất bị thu hồi để phục vụ cho công tác bồi thường,  hỗ trợ,  tái định cư khi Nhà nước thu hồi đất số 9898/GXN-KTHTĐT ngày 04/8/2026 của Phòng Kinh tế Hạ tầng và Đô thị phường Nam Nha Trang xác nhận:
 - Về thông tin nguồn gốc đất: 
* Thửa đất số 61 tờ bản đồ số 10 - 353599-1  </t>
    </r>
    <r>
      <rPr>
        <sz val="14"/>
        <rFont val="Times New Roman"/>
        <family val="1"/>
      </rPr>
      <t xml:space="preserve">(theo Bản đồ địa chính phường Nam Nha Trang - Đo đạc bổ sung): Tổng diện tích: 146,8m², diện tích thu hồi: 146,8m², diện tích còn lại: 0m2 thuộc Bản đồ địa chính phường Nam Nha Trang được Sở Nông nghiệp và Môi trường thẩm định ngày 05/5/2026, đối chiếu tương ứng các thửa đất:
+ Theo Sổ dã ngoại và Bản đồ địa chính xã Vĩnh Thái năm 1996: Thửa đất chưa được đo vẽ.
+ Đối chiếu bản đồ và sổ mục kê năm 2002: thửa đất thu hồi tương ứng thửa đất số 407, TBĐ 07, diện tích 3300m2, Loại đất: đất chưa sử dụng. Ghi chú đất UBND xã.
+ Đối chiếu Bản đồ ĐC và sổ mục kê năm 2015: Thửa đất thu hồi tương ứng một phần thửa đất số 200 tờ bản đồ số 10; diện tích: 3.277,6m2, loại đất: BHK, do ông Nguyễn Văn Ọ đứng tên kê khai.
+ Vị trí thửa đất thu hồi nằm trong Danh sách Kết luận thanh tra Theo Thông báo số 749/TB-UBND-TTra ngày 18/6/2025 của Chủ tịch UBND thành phố Nha Trang, đính kèm Kết luận thanh tra số 511/KL-TTra-KTXH ngày 13/6/2025 của Chánh Thanh tra thành phố Nha Trang, tại Phụ lục I – STT 949 ghi nhận: thửa đất số 407, tờ bản đồ số 07, diện tích 3.300m2 (loại đất Hg/b) thuộc Danh sách các loại đất khác do Nhà nước quản lý theo Sổ mục kê năm 2002, hiện trạng do người dân đang sử dụng. 
</t>
    </r>
    <r>
      <rPr>
        <b/>
        <sz val="14"/>
        <rFont val="Times New Roman"/>
        <family val="1"/>
      </rPr>
      <t xml:space="preserve">+ Nguồn gốc đất:  
</t>
    </r>
    <r>
      <rPr>
        <sz val="14"/>
        <rFont val="Times New Roman"/>
        <family val="1"/>
      </rPr>
      <t>Nguồn gốc đất do ông Nguyễn Ọ chiếm trước năm 2012. Ngày 20/4/2011, ông Nguyễn Ọ lập đơn cho quyền sử dụng đất cho con trai là ông Nguyễn Thành Tâm và con dâu là bà Lê Thị Dầu, giấy viết tay, không có xác nhận của cơ quan có thẩm quyền.-</t>
    </r>
    <r>
      <rPr>
        <b/>
        <sz val="14"/>
        <rFont val="Times New Roman"/>
        <family val="1"/>
      </rPr>
      <t xml:space="preserve"> 
Diện tích kê khai sử dụng của hộ ông Nguyễn Thành Tâmlà:
</t>
    </r>
    <r>
      <rPr>
        <sz val="14"/>
        <rFont val="Times New Roman"/>
        <family val="1"/>
      </rPr>
      <t xml:space="preserve">- Tổng diện tích đất: 146,8m²
- Diện tích thu hồi: 146,8m2
- Diện tích còn lại: 0m2
</t>
    </r>
    <r>
      <rPr>
        <b/>
        <sz val="14"/>
        <rFont val="Times New Roman"/>
        <family val="1"/>
      </rPr>
      <t xml:space="preserve">- Thời điểm sử dụng đất: </t>
    </r>
    <r>
      <rPr>
        <sz val="14"/>
        <rFont val="Times New Roman"/>
        <family val="1"/>
      </rPr>
      <t>sau 2015.</t>
    </r>
    <r>
      <rPr>
        <b/>
        <sz val="14"/>
        <rFont val="Times New Roman"/>
        <family val="1"/>
      </rPr>
      <t xml:space="preserve">
- Loại đất: </t>
    </r>
    <r>
      <rPr>
        <sz val="14"/>
        <rFont val="Times New Roman"/>
        <family val="1"/>
      </rPr>
      <t>BHK (Theo hồ sơ địa chính năm 2015+2002).</t>
    </r>
    <r>
      <rPr>
        <b/>
        <sz val="14"/>
        <rFont val="Times New Roman"/>
        <family val="1"/>
      </rPr>
      <t xml:space="preserve">
- Thời điểm hình thành tài sản, vật kiến trúc: </t>
    </r>
    <r>
      <rPr>
        <sz val="14"/>
        <rFont val="Times New Roman"/>
        <family val="1"/>
      </rPr>
      <t>Sau năm 2015 đến trước thông báo thu hồi đất. (Hiện trạng trên đất có nhà)</t>
    </r>
    <r>
      <rPr>
        <b/>
        <sz val="14"/>
        <rFont val="Times New Roman"/>
        <family val="1"/>
      </rPr>
      <t xml:space="preserve">
- Thời điểm tạo lập cây trồng, vật nuôi:</t>
    </r>
    <r>
      <rPr>
        <sz val="14"/>
        <rFont val="Times New Roman"/>
        <family val="1"/>
      </rPr>
      <t xml:space="preserve"> Sau năm 2015 đến trước thông báo thu hồi đất.
- Tổng diện tích đất nông nghiệp của hộ gia đình tại thửa đất bị thu hồi: 146,8m2
- Tổng diện tích đất nông nghiệp của hộ gia đình tại địa phương: 146,8m2</t>
    </r>
    <r>
      <rPr>
        <b/>
        <sz val="14"/>
        <rFont val="Times New Roman"/>
        <family val="1"/>
      </rPr>
      <t xml:space="preserve">
- Hộ ông Nguyễn Thành Tâm không trực tiếp sản xuất nông nghiệp tại vị trí thửa đất thu hồi. 
* Tình hình tranh chấp đối với thửa đất: 
</t>
    </r>
    <r>
      <rPr>
        <sz val="14"/>
        <rFont val="Times New Roman"/>
        <family val="1"/>
      </rPr>
      <t>'- Hiện hộ ông Nguyễn Thành Tâm đang sử dụng ổn định phần diện tích 146,8m2từ sau năm 2015 cho đến nay, không lấn chiếm, không tranh chấp, không thuộc trường hợp đất 5%, đất công, đất khác do Nhà nước quản lý, không có đơn thư ngăn chặn, tài sản không bị phong toả để đảm bảo thi hành án.</t>
    </r>
    <r>
      <rPr>
        <b/>
        <sz val="14"/>
        <rFont val="Times New Roman"/>
        <family val="1"/>
      </rPr>
      <t xml:space="preserve">
- Trường hợp diện tích đất thể hiện trên giấy tờ về quyền sử dụng đất có sự chênh lệch so với diện tích đất thực tế đang sử dụng:
</t>
    </r>
    <r>
      <rPr>
        <sz val="14"/>
        <rFont val="Times New Roman"/>
        <family val="1"/>
      </rPr>
      <t>- Diện tích theo giấy tờ: m2 
- Diện tích đất thực tế đang sử dụng: m2
- Diện tích đất chênh lệch tăng/giảm: 
*</t>
    </r>
    <r>
      <rPr>
        <b/>
        <sz val="14"/>
        <rFont val="Times New Roman"/>
        <family val="1"/>
      </rPr>
      <t>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t>
    </r>
    <r>
      <rPr>
        <b/>
        <sz val="14"/>
        <rFont val="Times New Roman"/>
        <family val="1"/>
      </rPr>
      <t xml:space="preserve">
* Các loại giấy tờ, tài liệu, người làm chứng làm căn cứ xác nhận các nội dung trên: (Giấy tờ kèm theo hồ sơ)
</t>
    </r>
    <r>
      <rPr>
        <sz val="14"/>
        <rFont val="Times New Roman"/>
        <family val="1"/>
      </rPr>
      <t>- Hồ sơ địa chính xã năm 2002, 2015;
- Biên bản họp xác minh nguồn gốc nhà, đất ngày 27/7/2026;
- Biên bản kiểm kê khối lượng giải tỏa ngày 23/6/2026;
- Phiếu xác nhận kết quả đo đạc địa chính thửa đất số 61 tờ bản đồ số 10;
- Bản tự kê khai ngày của bà Lê Thị Dầu.
- Giấy cho quyền sử dụng đất của ông Nguyễn Ọ cho ông Nguyễn Thành Tâm và bà Lê Thị Dầu, giấy viết tay ký ngày 20/4/2011 không có xác nhận của cơ quan có thẩm quyền.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</si>
  <si>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r>
      <rPr>
        <b/>
        <sz val="14"/>
        <rFont val="Times New Roman"/>
        <family val="1"/>
      </rPr>
      <t xml:space="preserve">"* Giấy xác nhận về thửa đất bị thu hồi để phục vụ cho công tác bồi thường,  hỗ trợ,  tái định cư khi Nhà nước thu hồi đất số 9899/GXN-KTHTĐT ngày 04/8/2026 của Phòng Kinh tế, Hạ tầng và Đô thị phường Nam Nha Trang xác nhận:
 - Về thông tin nguồn gốc đất: </t>
    </r>
    <r>
      <rPr>
        <sz val="14"/>
        <rFont val="Times New Roman"/>
        <family val="1"/>
      </rPr>
      <t xml:space="preserve">
</t>
    </r>
    <r>
      <rPr>
        <b/>
        <sz val="14"/>
        <rFont val="Times New Roman"/>
        <family val="1"/>
      </rPr>
      <t>* Thửa đất số 123 tờ bản đồ số 10 - 353599-1</t>
    </r>
    <r>
      <rPr>
        <sz val="14"/>
        <rFont val="Times New Roman"/>
        <family val="1"/>
      </rPr>
      <t xml:space="preserve"> (theo Bản đồ địa chính phường Nam Nha Trang - Đo đạc bổ sung): Tổng diện tích: 454,9m², diện tích thu hồi: 290,8m², diện tích còn lại: 164,1m2 thuộc Bản đồ địa chính phường Nam Nha Trang được Sở Nông nghiệp và Môi trường thẩm định ngày 05/5/2026, đối chiếu tương ứng các thửa đất:
</t>
    </r>
    <r>
      <rPr>
        <i/>
        <sz val="14"/>
        <rFont val="Times New Roman"/>
        <family val="1"/>
      </rPr>
      <t>+ Theo Sổ dã ngoại và Bản đồ địa chính xã Vĩnh Thái năm 1996: Thửa đất chưa được đo vẽ.
+ Đối chiếu bản đồ và sổ mục kê năm 2002: Thửa đất thu hồi tương ứng một phần thửa đất số 407, TBĐ 07, diện tích 3300m</t>
    </r>
    <r>
      <rPr>
        <i/>
        <vertAlign val="superscript"/>
        <sz val="14"/>
        <rFont val="Times New Roman"/>
        <family val="1"/>
      </rPr>
      <t>2</t>
    </r>
    <r>
      <rPr>
        <i/>
        <sz val="14"/>
        <rFont val="Times New Roman"/>
        <family val="1"/>
      </rPr>
      <t xml:space="preserve"> ,Loại đất: đất chưa sử dụng. Ghi chú</t>
    </r>
    <r>
      <rPr>
        <b/>
        <i/>
        <sz val="14"/>
        <rFont val="Times New Roman"/>
        <family val="1"/>
      </rPr>
      <t xml:space="preserve"> đất UBND xã.</t>
    </r>
    <r>
      <rPr>
        <i/>
        <sz val="14"/>
        <rFont val="Times New Roman"/>
        <family val="1"/>
      </rPr>
      <t xml:space="preserve">
+ Đối chiếu Bản đồ ĐC và sổ mục kê năm 2015: Thửa đất thu hồi tương ứng một phần thửa đất số 200 tờ bản đồ số 10; do ông Nguyễn Văn Ọ đứng tên kê khai; diện tích: 3.277,6m</t>
    </r>
    <r>
      <rPr>
        <i/>
        <vertAlign val="superscript"/>
        <sz val="14"/>
        <rFont val="Times New Roman"/>
        <family val="1"/>
      </rPr>
      <t>2</t>
    </r>
    <r>
      <rPr>
        <i/>
        <sz val="14"/>
        <rFont val="Times New Roman"/>
        <family val="1"/>
      </rPr>
      <t>; loại đất: BHK và một phần thửa đất số 287 tờ bản đồ số 10; diện tích: 11.650,2m</t>
    </r>
    <r>
      <rPr>
        <i/>
        <vertAlign val="superscript"/>
        <sz val="14"/>
        <rFont val="Times New Roman"/>
        <family val="1"/>
      </rPr>
      <t>2</t>
    </r>
    <r>
      <rPr>
        <i/>
        <sz val="14"/>
        <rFont val="Times New Roman"/>
        <family val="1"/>
      </rPr>
      <t xml:space="preserve"> do UBND phường quản lý, </t>
    </r>
    <r>
      <rPr>
        <b/>
        <i/>
        <sz val="14"/>
        <rFont val="Times New Roman"/>
        <family val="1"/>
      </rPr>
      <t>diện tích lấn mương 84,3m</t>
    </r>
    <r>
      <rPr>
        <b/>
        <i/>
        <vertAlign val="superscript"/>
        <sz val="14"/>
        <rFont val="Times New Roman"/>
        <family val="1"/>
      </rPr>
      <t>2</t>
    </r>
    <r>
      <rPr>
        <b/>
        <i/>
        <sz val="14"/>
        <rFont val="Times New Roman"/>
        <family val="1"/>
      </rPr>
      <t>.</t>
    </r>
    <r>
      <rPr>
        <i/>
        <sz val="14"/>
        <rFont val="Times New Roman"/>
        <family val="1"/>
      </rPr>
      <t xml:space="preserve">
</t>
    </r>
    <r>
      <rPr>
        <b/>
        <i/>
        <sz val="14"/>
        <rFont val="Times New Roman"/>
        <family val="1"/>
      </rPr>
      <t>+ Vị trí thửa đất thu hồi nằm trong Danh sách Kết luận thanh tra</t>
    </r>
    <r>
      <rPr>
        <i/>
        <sz val="14"/>
        <rFont val="Times New Roman"/>
        <family val="1"/>
      </rPr>
      <t xml:space="preserve"> Theo Thông báo số 749/TB-UBND-TTra ngày 18/6/2025 của Chủ tịch UBND thành phố Nha Trang, đính kèm Kết luận thanh tra số 511/KL-TTra-KTXH ngày 13/6/2025 của Chánh Thanh tra thành phố Nha Trang, tại Phụ lục I – STT 949 ghi nhận: thửa đất số 407, tờ bản đồ số 07, diện tích 3.300m2 (loại đất Hg/b) thuộc Danh sách các loại đất khác do Nhà nước quản lý theo Sổ mục kê năm 2002, hiện trạng do người dân đang sử dụng.</t>
    </r>
    <r>
      <rPr>
        <sz val="14"/>
        <rFont val="Times New Roman"/>
        <family val="1"/>
      </rPr>
      <t xml:space="preserve">
</t>
    </r>
    <r>
      <rPr>
        <b/>
        <sz val="14"/>
        <rFont val="Times New Roman"/>
        <family val="1"/>
      </rPr>
      <t xml:space="preserve"> + Nguồn gốc đất:  
* Theo giấy tờ nguồn gốc đất do hộ gia đình cung cấp:</t>
    </r>
    <r>
      <rPr>
        <sz val="14"/>
        <rFont val="Times New Roman"/>
        <family val="1"/>
      </rPr>
      <t xml:space="preserve">
Nguồn gốc đất do ông Nguyễn Ọ chiếm trước năm 2012. Ngày 19/4/2012, ông Nguyễn Ọ lập đơn cho quyền sử dụng đất cho con trai là ông Nguyễn Thanh Minh cùng vợ là bà Lê Thị Ngọc Bích, giấy viết tay, không có xác nhận của cơ quan có thẩm quyền.
</t>
    </r>
    <r>
      <rPr>
        <b/>
        <sz val="14"/>
        <rFont val="Times New Roman"/>
        <family val="1"/>
      </rPr>
      <t>Diện tích kê khai sử dụng của bà Lê Thị Ngọc Bích là:</t>
    </r>
    <r>
      <rPr>
        <sz val="14"/>
        <rFont val="Times New Roman"/>
        <family val="1"/>
      </rPr>
      <t xml:space="preserve">
- Tổng diện tích đất: 454,9m²
- Diện tích thu hồi: 290,8m</t>
    </r>
    <r>
      <rPr>
        <vertAlign val="superscript"/>
        <sz val="14"/>
        <rFont val="Times New Roman"/>
        <family val="1"/>
      </rPr>
      <t>2</t>
    </r>
    <r>
      <rPr>
        <sz val="14"/>
        <rFont val="Times New Roman"/>
        <family val="1"/>
      </rPr>
      <t xml:space="preserve">
- Diện tích còn lại: 164,1m</t>
    </r>
    <r>
      <rPr>
        <vertAlign val="superscript"/>
        <sz val="14"/>
        <rFont val="Times New Roman"/>
        <family val="1"/>
      </rPr>
      <t>2</t>
    </r>
    <r>
      <rPr>
        <sz val="14"/>
        <rFont val="Times New Roman"/>
        <family val="1"/>
      </rPr>
      <t xml:space="preserve">
- Loại đất:</t>
    </r>
    <r>
      <rPr>
        <b/>
        <sz val="14"/>
        <rFont val="Times New Roman"/>
        <family val="1"/>
      </rPr>
      <t xml:space="preserve"> BHK</t>
    </r>
    <r>
      <rPr>
        <sz val="14"/>
        <rFont val="Times New Roman"/>
        <family val="1"/>
      </rPr>
      <t xml:space="preserve"> (Theo hồ sơ địa chính năm 2015+2002).
- Thời điểm sử dụng đất: sau 2015 .
-Thời điểm hình thành tài sản, vật kiến trúc: sau 2015 đến trước Thông báo thu hồi đất. (Hiện trạng trên đất có nhà)
- Thời điểm tạo lập cây trồng, vật nuôi: được tạo lập trước thời điểm có Thông báo thu hồi đất.
- Tổng diện tích đất nông nghiệp của hộ gia đình tại thửa đất bị thu hồi: 290,8m</t>
    </r>
    <r>
      <rPr>
        <vertAlign val="superscript"/>
        <sz val="14"/>
        <rFont val="Times New Roman"/>
        <family val="1"/>
      </rPr>
      <t>2</t>
    </r>
    <r>
      <rPr>
        <sz val="14"/>
        <rFont val="Times New Roman"/>
        <family val="1"/>
      </rPr>
      <t>,</t>
    </r>
    <r>
      <rPr>
        <b/>
        <sz val="14"/>
        <rFont val="Times New Roman"/>
        <family val="1"/>
      </rPr>
      <t xml:space="preserve"> diện tích lấn mương 84,3m</t>
    </r>
    <r>
      <rPr>
        <b/>
        <vertAlign val="superscript"/>
        <sz val="14"/>
        <rFont val="Times New Roman"/>
        <family val="1"/>
      </rPr>
      <t>2</t>
    </r>
    <r>
      <rPr>
        <b/>
        <sz val="14"/>
        <rFont val="Times New Roman"/>
        <family val="1"/>
      </rPr>
      <t>.</t>
    </r>
    <r>
      <rPr>
        <sz val="14"/>
        <rFont val="Times New Roman"/>
        <family val="1"/>
      </rPr>
      <t xml:space="preserve">
- Tổng diện tích đất nông nghiệp của hộ gia đình tại địa phương: 454,9m</t>
    </r>
    <r>
      <rPr>
        <vertAlign val="superscript"/>
        <sz val="14"/>
        <rFont val="Times New Roman"/>
        <family val="1"/>
      </rPr>
      <t>2</t>
    </r>
    <r>
      <rPr>
        <sz val="14"/>
        <rFont val="Times New Roman"/>
        <family val="1"/>
      </rPr>
      <t xml:space="preserve">
</t>
    </r>
    <r>
      <rPr>
        <b/>
        <sz val="14"/>
        <rFont val="Times New Roman"/>
        <family val="1"/>
      </rPr>
      <t xml:space="preserve">- Hộ bà Lê Thị Ngọc Bích không trực tiếp sản xuất nông nghiệp tại vị trí thửa đất thu hồi. 
=&gt; Kết luận: 
</t>
    </r>
    <r>
      <rPr>
        <sz val="14"/>
        <rFont val="Times New Roman"/>
        <family val="1"/>
      </rPr>
      <t>Nguồn gốc sử dụng đất</t>
    </r>
    <r>
      <rPr>
        <b/>
        <sz val="14"/>
        <rFont val="Times New Roman"/>
        <family val="1"/>
      </rPr>
      <t xml:space="preserve"> Thửa đất số 123, tờ bản đồ số 10 - 353599-1 </t>
    </r>
    <r>
      <rPr>
        <sz val="14"/>
        <rFont val="Times New Roman"/>
        <family val="1"/>
      </rPr>
      <t>(theo Bản đồ địa chính phường Nam Nha Trang - Đo đạc bổ sung), Tổng diện tích: 454,9m², diện tích thu hồi: 290,8m², diện tích còn lại: 164,1m2</t>
    </r>
    <r>
      <rPr>
        <b/>
        <sz val="14"/>
        <rFont val="Times New Roman"/>
        <family val="1"/>
      </rPr>
      <t xml:space="preserve"> thuộc </t>
    </r>
    <r>
      <rPr>
        <sz val="14"/>
        <rFont val="Times New Roman"/>
        <family val="1"/>
      </rPr>
      <t xml:space="preserve">Bản đồ địa chính phường Nam Nha Trang được Sở Nông nghiệp và Môi trường thẩm định ngày 05/5/2026, thuộc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
</t>
    </r>
    <r>
      <rPr>
        <b/>
        <sz val="14"/>
        <rFont val="Times New Roman"/>
        <family val="1"/>
      </rPr>
      <t>- Quá trình sử dụng, thay đổi đất, nhà, vật kiến trúc xây dựng trên đất:</t>
    </r>
    <r>
      <rPr>
        <sz val="14"/>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rFont val="Times New Roman"/>
        <family val="1"/>
      </rPr>
      <t xml:space="preserve">* Tình hình tranh chấp đối với thửa đất: </t>
    </r>
    <r>
      <rPr>
        <sz val="14"/>
        <rFont val="Times New Roman"/>
        <family val="1"/>
      </rPr>
      <t xml:space="preserve">
- Hiện hộ bà Lê Thị Ngọc Bích đang sử dụng ổn định phần diện tích 454,9m2 từ sau năm 2015 cho đến nay, không lấn chiếm, không tranh chấp, không thuộc trường hợp đất 5%, đất công, đất khác do Nhà nước quản lý, không có đơn thư ngăn chặn, tài sản không bị phong toả để đảm bảo thi hành án.
</t>
    </r>
    <r>
      <rPr>
        <b/>
        <sz val="14"/>
        <rFont val="Times New Roman"/>
        <family val="1"/>
      </rPr>
      <t>* Trường hợp diện tích đất thể hiện trên giấy tờ về quyền sử dụng đất có sự chênh lệch so với diện tích đất thực tế đang sử dụng:</t>
    </r>
    <r>
      <rPr>
        <sz val="14"/>
        <rFont val="Times New Roman"/>
        <family val="1"/>
      </rPr>
      <t xml:space="preserve">
- Diện tích theo giấy tờ:m²
- Diện tích đất thực tế đang sử dụng: m²
- Diện tích đất chênh lệch tăng/giảm: 
</t>
    </r>
    <r>
      <rPr>
        <b/>
        <sz val="14"/>
        <rFont val="Times New Roman"/>
        <family val="1"/>
      </rPr>
      <t>* 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rFont val="Times New Roman"/>
        <family val="1"/>
      </rPr>
      <t>* Các loại giấy tờ, tài liệu, người làm chứng làm căn cứ xác nhận các nội dung trên:</t>
    </r>
    <r>
      <rPr>
        <i/>
        <sz val="14"/>
        <rFont val="Times New Roman"/>
        <family val="1"/>
      </rPr>
      <t xml:space="preserve"> (Giấy tờ kèm theo hồ sơ)</t>
    </r>
    <r>
      <rPr>
        <sz val="14"/>
        <rFont val="Times New Roman"/>
        <family val="1"/>
      </rPr>
      <t xml:space="preserve">
- Hồ sơ địa chính xã năm 2002, 2015;
- Biên bản họp xác minh nguồn gốc nhà, đất ngày 27/7/2026;
- Biên bản kiểm kê khối lượng giải tỏa ngày 24/6/2026;
- Phiếu xác nhận kết quả đo đạc địa chính thửa đất số 123 tờ bản đồ số 10;
- Bản tự kê khai ngày của bà Lê Thị Ngọc Bích.
- Giấy cho quyền sử dụng đất của ông Nguyễn Ọ cho con là ông Nguyễn Thanh Minh và vợ là bà Lê Thị Ngọc Bích 0ngày 19/4/2012, không có xác nhận của cơ quan có thẩm quyền.
- CCCD số 056082006732 do Cục QLHC về TTXH cấp ngày 06/12/2021 cho ông Nguyễn Thanh Minh;
- CC số 056186005709 do Bộ Công an cấp ngày 17/3/2026 cho bà Lê Thị Ngọc Bích;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</si>
  <si>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r>
      <t xml:space="preserve">1. Hỗ trợ đào tạo, chuyển đổi nghề và tìm kiếm việc làm: </t>
    </r>
    <r>
      <rPr>
        <i/>
        <sz val="14"/>
        <rFont val="Times New Roman"/>
        <family val="1"/>
      </rPr>
      <t>(Hộ  ông Nguyễn Thành Tâm và bà Lê Thị Dầu không trực tiếp sản xuất nông nghiệp trên đất)</t>
    </r>
  </si>
  <si>
    <r>
      <t>2. Hỗ trợ ổn định đời sống</t>
    </r>
    <r>
      <rPr>
        <i/>
        <sz val="14"/>
        <rFont val="Times New Roman"/>
        <family val="1"/>
      </rPr>
      <t xml:space="preserve"> (Hộ  ông Nguyễn Thành Tâm và bà Lê Thị Dầu thực tế không canh tác nông nghiệp trên đất)</t>
    </r>
  </si>
  <si>
    <r>
      <t xml:space="preserve">1. Hỗ trợ đào tạo, chuyển đổi nghề và tìm kiếm việc làm: </t>
    </r>
    <r>
      <rPr>
        <i/>
        <sz val="14"/>
        <rFont val="Times New Roman"/>
        <family val="1"/>
      </rPr>
      <t>(Hộ ông Nguyễn Thanh Minh và bà Lê Thị Ngọc Bích không trực tiếp sản xuất nông nghiệp trên đất)</t>
    </r>
  </si>
  <si>
    <r>
      <t>2. Hỗ trợ ổn định đời sống</t>
    </r>
    <r>
      <rPr>
        <i/>
        <sz val="14"/>
        <rFont val="Times New Roman"/>
        <family val="1"/>
      </rPr>
      <t xml:space="preserve"> (Hộ ông Nguyễn Thanh Minh và bà Lê Thị Ngọc Bích thực tế không canh tác nông nghiệp trên đất)</t>
    </r>
  </si>
  <si>
    <t>Không có Hợp đồng, hóa đơn thu tiền của điện lực</t>
  </si>
  <si>
    <t xml:space="preserve"> +Móng xây đá chẻ 2 lớp, dài 15m.
DT: 0,2m x 0,2m x 15m = </t>
  </si>
  <si>
    <t>Áp đơn giá tại phụ lục STT C.48 Quyết định số 08/2026/QĐ-UBND ngày 22/01/2026 của UBND tỉnh Khánh Hòa, đơn giá: 3.096.280đ/m³.</t>
  </si>
  <si>
    <r>
      <t xml:space="preserve">2. Hỗ trợ đào tạo, chuyển đổi nghề và tìm kiếm việc làm: </t>
    </r>
    <r>
      <rPr>
        <i/>
        <sz val="14"/>
        <rFont val="Times New Roman"/>
        <family val="1"/>
      </rPr>
      <t>(Hộ ông Lương Văn Quang không thực tế canh tác nông nghiệp trên đất)</t>
    </r>
    <r>
      <rPr>
        <b/>
        <sz val="14"/>
        <rFont val="Times New Roman"/>
        <family val="1"/>
      </rPr>
      <t xml:space="preserve">
</t>
    </r>
  </si>
  <si>
    <r>
      <t xml:space="preserve">1. Hỗ trợ đào tạo, chuyển đổi nghề và tìm kiếm việc làm: </t>
    </r>
    <r>
      <rPr>
        <i/>
        <sz val="14"/>
        <rFont val="Times New Roman"/>
        <family val="1"/>
      </rPr>
      <t>(Hộ ông Lương Văn Quang không trực tiếp sản xuất nông nghiệp trên đất)</t>
    </r>
  </si>
  <si>
    <r>
      <rPr>
        <b/>
        <sz val="14"/>
        <rFont val="Times New Roman"/>
        <family val="1"/>
      </rPr>
      <t xml:space="preserve"> * Giấy xác nhận về thửa đất bị thu hồi để phục vụ cho công tác bồi thường,  hỗ trợ,  tái định cư khi Nhà nước thu hồi đất số 9891/GXN-KTHTĐT ngày  04/8/2026 của Phòng Kinh tế Hạ tầng và Đô thị phường Nam Nha Trang xác nhận:
 - Về thông tin nguồn gốc đất: </t>
    </r>
    <r>
      <rPr>
        <b/>
        <sz val="14"/>
        <color rgb="FFFF0000"/>
        <rFont val="Times New Roman"/>
        <family val="1"/>
      </rPr>
      <t xml:space="preserve">
</t>
    </r>
    <r>
      <rPr>
        <b/>
        <sz val="14"/>
        <rFont val="Times New Roman"/>
        <family val="1"/>
      </rPr>
      <t xml:space="preserve">*Thửa đất số 95 tờ bản đồ số 10 - 353599-1  </t>
    </r>
    <r>
      <rPr>
        <sz val="14"/>
        <rFont val="Times New Roman"/>
        <family val="1"/>
      </rPr>
      <t>(theo Bản đồ địa chính phường Nam Nha Trang - Đo đạc bổ sung): Tổng diện tích: 111,5m², diện tích thu hồi: 111,5m², diện tích còn lại: 0m2 thuộc Bản đồ địa chính phường Nam Nha Trang được Sở Nông nghiệp và Môi trường thẩm định ngày 05/5/2026, đối chiếu tương ứng các thửa đất:
+ Theo Sổ dã ngoại và Bản đồ địa chính xã Vĩnh Thái năm 1996: Thửa đất chưa được đo vẽ.
+ Đối chiếu bản đồ và sổ mục kê năm 2002: Tương ứng một phần thửa đất số 446 tờ bản đồ số 07, diện tích: 7.345m2, loại đất: LD thủy sản, không ai đứng tên kê khai, ghi chú đất UBND xã.
+ Đối chiếu Bản đồ ĐC và sổ mục kê năm 2015: Tương ứng một phần thửa đất số 214; tờ bản đồ số 10; diện tích:6.417,6m2; loại đất:TSL, do Lan đứng tên kê khai;.(nhưng ý kiến đại diện hộ dân ông Trần Văn Minh cho rằng thực tế là đất bà do ông đang sử dụng, do đoàn đo đạc tại tời điểm ghi nhầm)
+ Vị trí thửa đất thu hồi nằm trong Danh sách Kết luận thanh tra Theo Thông báo số 749/TB-UBND-TTra ngày 18/6/2025 của Chủ tịch UBND thành phố Nha Trang, đính kèm Kết luận thanh tra số 511/KL-TTra-KTXH ngày 13/6/2025 của Chánh Thanh tra thành phố Nha Trang, tại Phụ lục I – STT 951 ghi nhận: thửa đất số 446, tờ bản đồ số 07, diện tích 7.345m2 (loại đất Ao (Hồ)) thuộc Danh sách các loại đất khác do Nhà nước quản lý theo Sổ mục kê năm 2002, hiện trạng do người dân đang sử dụng.</t>
    </r>
    <r>
      <rPr>
        <b/>
        <sz val="14"/>
        <color rgb="FFFF0000"/>
        <rFont val="Times New Roman"/>
        <family val="1"/>
      </rPr>
      <t xml:space="preserve">
</t>
    </r>
    <r>
      <rPr>
        <b/>
        <sz val="14"/>
        <rFont val="Times New Roman"/>
        <family val="1"/>
      </rPr>
      <t xml:space="preserve"> + Nguồn gốc đất:  
* Theo giấy tờ nguồn gốc đất do hộ gia đình cung cấp:</t>
    </r>
    <r>
      <rPr>
        <sz val="14"/>
        <rFont val="Times New Roman"/>
        <family val="1"/>
      </rPr>
      <t xml:space="preserve">
Nguồn gốc đất do ông Nguyễn Thành chiếm trước năm 1999. Ngày 07/01/1999, ông Nguyễn Thành và vợ là bà Nguyễn Thị Vân lập giấy bán đìa nuôi tôm cho ông Trần Văn Minh, giấy viết tay, không có xác nhận của cơ quan có thẩm quyền.
Ngày 16/4/2006, ông Trần Văn Minh lập giấy bán đìa nuôi tôm cho ông Lương Văn Quang, giấy viết tay, không có xác nhận của cơ quan có thẩm quyền.</t>
    </r>
    <r>
      <rPr>
        <b/>
        <sz val="14"/>
        <rFont val="Times New Roman"/>
        <family val="1"/>
      </rPr>
      <t xml:space="preserve">
Diện tích kê khai sử dụng của hộ ông Lương Văn Quanglà:
</t>
    </r>
    <r>
      <rPr>
        <sz val="14"/>
        <rFont val="Times New Roman"/>
        <family val="1"/>
      </rPr>
      <t xml:space="preserve">- Tổng diện tích đất: 111,5m2
- Diện tích thu hồi: 111,5m2
- Diện tích còn lại: 0m2
</t>
    </r>
    <r>
      <rPr>
        <b/>
        <sz val="14"/>
        <rFont val="Times New Roman"/>
        <family val="1"/>
      </rPr>
      <t xml:space="preserve">- Thời điểm sử dụng đất: </t>
    </r>
    <r>
      <rPr>
        <sz val="14"/>
        <rFont val="Times New Roman"/>
        <family val="1"/>
      </rPr>
      <t>sau năm 2015.</t>
    </r>
    <r>
      <rPr>
        <b/>
        <sz val="14"/>
        <color rgb="FFFF0000"/>
        <rFont val="Times New Roman"/>
        <family val="1"/>
      </rPr>
      <t xml:space="preserve">
</t>
    </r>
    <r>
      <rPr>
        <b/>
        <sz val="14"/>
        <rFont val="Times New Roman"/>
        <family val="1"/>
      </rPr>
      <t xml:space="preserve">- Loại đất: </t>
    </r>
    <r>
      <rPr>
        <sz val="14"/>
        <rFont val="Times New Roman"/>
        <family val="1"/>
      </rPr>
      <t>TSL (Theo hồ sơ địa chính năm 2015+2002) nhưng hộ dân đã tự sang lấp mặt bằng và sử dụng vào mục đích khác.</t>
    </r>
    <r>
      <rPr>
        <b/>
        <sz val="14"/>
        <color rgb="FFFF0000"/>
        <rFont val="Times New Roman"/>
        <family val="1"/>
      </rPr>
      <t xml:space="preserve">
</t>
    </r>
    <r>
      <rPr>
        <b/>
        <sz val="14"/>
        <rFont val="Times New Roman"/>
        <family val="1"/>
      </rPr>
      <t xml:space="preserve">- Thời điểm hình thành tài sản, vật kiến trúc: </t>
    </r>
    <r>
      <rPr>
        <sz val="14"/>
        <rFont val="Times New Roman"/>
        <family val="1"/>
      </rPr>
      <t>Sau năm 2015 đến trước thông báo thu hồi đất. (Hiện trạng trên đất có nhà)</t>
    </r>
    <r>
      <rPr>
        <b/>
        <sz val="14"/>
        <color rgb="FFFF0000"/>
        <rFont val="Times New Roman"/>
        <family val="1"/>
      </rPr>
      <t xml:space="preserve">
</t>
    </r>
    <r>
      <rPr>
        <b/>
        <sz val="14"/>
        <rFont val="Times New Roman"/>
        <family val="1"/>
      </rPr>
      <t xml:space="preserve">- Thời điểm tạo lập cây trồng, vật nuôi: </t>
    </r>
    <r>
      <rPr>
        <sz val="14"/>
        <rFont val="Times New Roman"/>
        <family val="1"/>
      </rPr>
      <t xml:space="preserve">Sau năm 2015 đến trước thông báo thu hồi đất.
- Tổng diện tích đất nông nghiệp của hộ gia đình tại thửa đất bị thu hồi: 111,5m2
- Tổng diện tích đất nông nghiệp của hộ gia đình tại địa phương: 111,5m2
- Hộ ông Lương Văn Quang không trực tiếp sản xuất nông nghiệp tại vị trí thửa đất thu hồi. 
</t>
    </r>
    <r>
      <rPr>
        <b/>
        <sz val="14"/>
        <rFont val="Times New Roman"/>
        <family val="1"/>
      </rPr>
      <t>=&gt; Kết luận:</t>
    </r>
    <r>
      <rPr>
        <sz val="14"/>
        <rFont val="Times New Roman"/>
        <family val="1"/>
      </rPr>
      <t xml:space="preserve"> 
Nguồn gốc sử dụng đất </t>
    </r>
    <r>
      <rPr>
        <b/>
        <sz val="14"/>
        <rFont val="Times New Roman"/>
        <family val="1"/>
      </rPr>
      <t>Thửa đất số 95, tờ bản đồ số 10 - 353599-1</t>
    </r>
    <r>
      <rPr>
        <sz val="14"/>
        <rFont val="Times New Roman"/>
        <family val="1"/>
      </rPr>
      <t xml:space="preserve"> (theo Bản đồ địa chính phường Nam Nha Trang - Đo đạc bổ sung), Tổng diện tích: 110m², diện tích thu hồi: 110m², diện tích còn lại: 0m2 </t>
    </r>
    <r>
      <rPr>
        <b/>
        <sz val="14"/>
        <rFont val="Times New Roman"/>
        <family val="1"/>
      </rPr>
      <t>thuộc</t>
    </r>
    <r>
      <rPr>
        <sz val="14"/>
        <rFont val="Times New Roman"/>
        <family val="1"/>
      </rPr>
      <t xml:space="preserve"> Bản đồ địa chính phường Nam Nha Trang được Sở Nông nghiệp và Môi trường thẩm định ngày 05/5/2026, thuộc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
- Tình trạng có ăn ở, sinh hoạt tại vị trí thửa đất thu hồi: Căn cứ theo xác minh của Công an phường Nam Nha Trang về tình trạng ăn ở và quá trình cư trú của hộ gia đình tại vị trí thửa đất thu hồi.
</t>
    </r>
    <r>
      <rPr>
        <b/>
        <sz val="14"/>
        <rFont val="Times New Roman"/>
        <family val="1"/>
      </rPr>
      <t xml:space="preserve">* Tình hình tranh chấp đối với thửa đất:
</t>
    </r>
    <r>
      <rPr>
        <sz val="14"/>
        <rFont val="Times New Roman"/>
        <family val="1"/>
      </rPr>
      <t>Hiện hộ ông Lương Văn Quang đang sử dụng ổn định phần diện tích 111,5m2 từ sau năm 2015 cho đến nay, không lấn chiếm, không tranh chấp, không thuộc trường hợp đất 5%, đất công, đất khác do Nhà nước quản lý, không có đơn thư ngăn chặn, tài sản không bị phong toả để đảm bảo thi hành án.</t>
    </r>
    <r>
      <rPr>
        <b/>
        <sz val="14"/>
        <color rgb="FFFF0000"/>
        <rFont val="Times New Roman"/>
        <family val="1"/>
      </rPr>
      <t xml:space="preserve">
</t>
    </r>
    <r>
      <rPr>
        <b/>
        <sz val="14"/>
        <rFont val="Times New Roman"/>
        <family val="1"/>
      </rPr>
      <t xml:space="preserve">- Trường hợp diện tích đất thể hiện trên giấy tờ về quyền sử dụng đất có sự chênh lệch so với diện tích đất thực tế đang sử dụng:
</t>
    </r>
    <r>
      <rPr>
        <sz val="14"/>
        <rFont val="Times New Roman"/>
        <family val="1"/>
      </rPr>
      <t xml:space="preserve">- Diện tích theo giấy tờ: m2 
- Diện tích đất thực tế đang sử dụng: m2
- Diện tích đất chênh lệch tăng/giảm: </t>
    </r>
    <r>
      <rPr>
        <sz val="14"/>
        <color rgb="FFFF0000"/>
        <rFont val="Times New Roman"/>
        <family val="1"/>
      </rPr>
      <t xml:space="preserve">
</t>
    </r>
    <r>
      <rPr>
        <sz val="14"/>
        <rFont val="Times New Roman"/>
        <family val="1"/>
      </rPr>
      <t>*</t>
    </r>
    <r>
      <rPr>
        <b/>
        <sz val="14"/>
        <rFont val="Times New Roman"/>
        <family val="1"/>
      </rPr>
      <t>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t>
    </r>
    <r>
      <rPr>
        <sz val="14"/>
        <color rgb="FFFF0000"/>
        <rFont val="Times New Roman"/>
        <family val="1"/>
      </rPr>
      <t xml:space="preserve">
</t>
    </r>
    <r>
      <rPr>
        <sz val="14"/>
        <rFont val="Times New Roman"/>
        <family val="1"/>
      </rPr>
      <t>Hai địa chỉ là cùng một thửa đất.</t>
    </r>
    <r>
      <rPr>
        <sz val="14"/>
        <color rgb="FFFF0000"/>
        <rFont val="Times New Roman"/>
        <family val="1"/>
      </rPr>
      <t xml:space="preserve">
</t>
    </r>
    <r>
      <rPr>
        <b/>
        <sz val="14"/>
        <rFont val="Times New Roman"/>
        <family val="1"/>
      </rPr>
      <t>* Các loại giấy tờ, tài liệu, người làm chứng làm căn cứ xác nhận các nội dung trên: (Giấy tờ kèm theo hồ sơ)</t>
    </r>
    <r>
      <rPr>
        <sz val="14"/>
        <rFont val="Times New Roman"/>
        <family val="1"/>
      </rPr>
      <t xml:space="preserve">
- Hồ sơ địa chính xã năm 2002, 2015;
- Biên bản họp xác minh nguồn gốc nhà, đất ngày27/7/2026;
- Biên bản kiểm kê khối lượng giải tỏa ngày24/6/2026;
- Phiếu xác nhận kết quả đo đạc địa chính thửa đất số 94 tờ bản đồ số 10;
- Bản tự kê khai ngày của ông Lương Văn Quang;
- Giấy bán đìa tôm của ông Nguyễn Thành chuyển nhượng quyền sử dụng đất cho ông Trần Văn Minh, giấy viết tay ký ngày 07/01/1999 không có xác nhận của cơ quan có thẩm quyền.
- Giấy bán đìa nuôi tôm của ông Trần Văn Minh chuyển nhượng quyền sử dụng đất cho ông Lương Văn Quang, giấy viết tay ký ngày 16/4/2006 không có xác nhận của cơ quan có thẩm quyền.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</si>
  <si>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r>
      <rPr>
        <b/>
        <sz val="14"/>
        <rFont val="Times New Roman"/>
        <family val="1"/>
      </rPr>
      <t xml:space="preserve"> * Giấy xác nhận về thửa đất bị thu hồi để phục vụ cho công tác bồi thường,  hỗ trợ,  tái định cư khi Nhà nước thu hồi đất số 9891/GXN-KTHTĐT ngày 04/8/2026 của Phòng Kinh tế Hạ tầng và Đô thị phường Nam Nha Trang xác nhận:
 - Về thông tin nguồn gốc đất: </t>
    </r>
    <r>
      <rPr>
        <b/>
        <sz val="14"/>
        <color rgb="FFFF0000"/>
        <rFont val="Times New Roman"/>
        <family val="1"/>
      </rPr>
      <t xml:space="preserve">
</t>
    </r>
    <r>
      <rPr>
        <b/>
        <sz val="14"/>
        <rFont val="Times New Roman"/>
        <family val="1"/>
      </rPr>
      <t xml:space="preserve">* Thửa đất số 94 tờ bản đồ số 10 - 353599-1 </t>
    </r>
    <r>
      <rPr>
        <sz val="14"/>
        <rFont val="Times New Roman"/>
        <family val="1"/>
      </rPr>
      <t xml:space="preserve">(theo Bản đồ địa chính phường Nam Nha Trang - Đo đạc bổ sung): Tổng diện tích: 111,5m², diện tích thu hồi: 111,5m², diện tích còn lại: 0m2 thuộc Bản đồ địa chính phường Nam Nha Trang được Sở Nông nghiệp và Môi trường thẩm định ngày 05/5/2026, đối chiếu tương ứng các thửa đất:
+ Theo Sổ dã ngoại và Bản đồ địa chính xã Vĩnh Thái năm 1996: Thửa đất chưa được đo vẽ.
+ Đối chiếu bản đồ và sổ mục kê năm 2002: Tương ứng một phần thửa đất số 446 tờ bản đồ số 07, diện tích: 7.345m2, loại đất: LD thủy sản, không ai đứng tên kê khai, ghi chú đất UBND xã.
+ Đối chiếu Bản đồ ĐC và sổ mục kê năm 2015: Tương ứng một phần thửa đất số 214; tờ bản đồ số 10; diện tích:6.417,6m2; loại đất:TSL, do Lan đứng tên kê khai;.(nhưng ý kiến đại diện hộ dân ông Trần Văn Minh cho rằng thực tế là đất bà do ông đang sử dụng, do đoàn đo đạc tại tời điểm ghi nhầm)
+ </t>
    </r>
    <r>
      <rPr>
        <b/>
        <sz val="14"/>
        <rFont val="Times New Roman"/>
        <family val="1"/>
      </rPr>
      <t>Vị trí thửa đất thu hồi nằm trong Danh sách Kết luận thanh tra</t>
    </r>
    <r>
      <rPr>
        <sz val="14"/>
        <rFont val="Times New Roman"/>
        <family val="1"/>
      </rPr>
      <t xml:space="preserve"> Theo Thông báo số 749/TB-UBND-TTra ngày 18/6/2025 của Chủ tịch UBND thành phố Nha Trang, đính kèm Kết luận thanh tra số 511/KL-TTra-KTXH ngày 13/6/2025 của Chánh Thanh tra thành phố Nha Trang, tại Phụ lục I – STT 951 ghi nhận: thửa đất số 446, tờ bản đồ số 07, diện tích 7.345m2 (loại đất Ao (Hồ)) thuộc Danh sách các loại đất khác do Nhà nước quản lý theo Sổ mục kê năm 2002, hiện trạng do người dân đang sử dụng.</t>
    </r>
    <r>
      <rPr>
        <b/>
        <sz val="14"/>
        <color rgb="FFFF0000"/>
        <rFont val="Times New Roman"/>
        <family val="1"/>
      </rPr>
      <t xml:space="preserve">
</t>
    </r>
    <r>
      <rPr>
        <b/>
        <sz val="14"/>
        <rFont val="Times New Roman"/>
        <family val="1"/>
      </rPr>
      <t xml:space="preserve"> + Nguồn gốc đất:  
</t>
    </r>
    <r>
      <rPr>
        <sz val="14"/>
        <rFont val="Times New Roman"/>
        <family val="1"/>
      </rPr>
      <t>Nguồn gốc đất do ông Nguyễn Thành chiếm trước năm 1999. Ngày 07/01/1999, ông Nguyễn Thành và vợ là bà Nguyễn Thị Vân lập giấy bán đìa nuôi tôm cho ông Trần Văn Minh, giấy viết tay, không có xác nhận của cơ quan có thẩm quyền.
Ngày 16/4/2006, ông Trần Văn Minh lập giấy bán đìa nuôi tôm cho ông Lương Văn Quang, giấy viết tay, không có xác nhận của cơ quan có thẩm quyền.</t>
    </r>
    <r>
      <rPr>
        <b/>
        <sz val="14"/>
        <rFont val="Times New Roman"/>
        <family val="1"/>
      </rPr>
      <t xml:space="preserve">
Diện tích kê khai sử dụng của hộ ông Lương Văn Quang là:
</t>
    </r>
    <r>
      <rPr>
        <sz val="14"/>
        <rFont val="Times New Roman"/>
        <family val="1"/>
      </rPr>
      <t>- Tổng diện tích đất: 111,5m2
- Diện tích thu hồi: 111,5m2
- Diện tích còn lại: 0m2</t>
    </r>
    <r>
      <rPr>
        <b/>
        <sz val="14"/>
        <color rgb="FFFF0000"/>
        <rFont val="Times New Roman"/>
        <family val="1"/>
      </rPr>
      <t xml:space="preserve">
</t>
    </r>
    <r>
      <rPr>
        <b/>
        <sz val="14"/>
        <rFont val="Times New Roman"/>
        <family val="1"/>
      </rPr>
      <t xml:space="preserve">- Thời điểm sử dụng đất: </t>
    </r>
    <r>
      <rPr>
        <sz val="14"/>
        <rFont val="Times New Roman"/>
        <family val="1"/>
      </rPr>
      <t>sau năm 2015.</t>
    </r>
    <r>
      <rPr>
        <b/>
        <sz val="14"/>
        <color rgb="FFFF0000"/>
        <rFont val="Times New Roman"/>
        <family val="1"/>
      </rPr>
      <t xml:space="preserve">
</t>
    </r>
    <r>
      <rPr>
        <b/>
        <sz val="14"/>
        <rFont val="Times New Roman"/>
        <family val="1"/>
      </rPr>
      <t xml:space="preserve">- Loại đất: </t>
    </r>
    <r>
      <rPr>
        <sz val="14"/>
        <rFont val="Times New Roman"/>
        <family val="1"/>
      </rPr>
      <t>TSL (Theo hồ sơ địa chính năm 2015).</t>
    </r>
    <r>
      <rPr>
        <b/>
        <sz val="14"/>
        <color rgb="FFFF0000"/>
        <rFont val="Times New Roman"/>
        <family val="1"/>
      </rPr>
      <t xml:space="preserve">
</t>
    </r>
    <r>
      <rPr>
        <b/>
        <sz val="14"/>
        <rFont val="Times New Roman"/>
        <family val="1"/>
      </rPr>
      <t xml:space="preserve">- Thời điểm hình thành tài sản, vật kiến trúc: </t>
    </r>
    <r>
      <rPr>
        <sz val="14"/>
        <rFont val="Times New Roman"/>
        <family val="1"/>
      </rPr>
      <t>Sau năm 2015 đến trước thông báo thu hồi đất. (Hiện trạng trên đất có nhà)</t>
    </r>
    <r>
      <rPr>
        <b/>
        <sz val="14"/>
        <color rgb="FFFF0000"/>
        <rFont val="Times New Roman"/>
        <family val="1"/>
      </rPr>
      <t xml:space="preserve">
</t>
    </r>
    <r>
      <rPr>
        <b/>
        <sz val="14"/>
        <rFont val="Times New Roman"/>
        <family val="1"/>
      </rPr>
      <t>- Thời điểm tạo lập cây trồng, vật nuôi:</t>
    </r>
    <r>
      <rPr>
        <sz val="14"/>
        <rFont val="Times New Roman"/>
        <family val="1"/>
      </rPr>
      <t xml:space="preserve"> sau 2015 đến trước Thông báo thu hồi đất.
- Tổng diện tích đất nông nghiệp của hộ gia đình tại thửa đất bị thu hồi:111,5m2
- Tổng diện tích đất nông nghiệp của hộ gia đìnhtại địa phương: 111,5m2
- Hộ ông Lương Văn Quang không trực tiếp sản xuất nông nghiệp tại vị trí thửa đất thu hồi.  
- Tình trạng có ăn ở, sinh hoạt tại vị trí thửa đất thu hồi: Căn cứ theo xác minh của Công an phường Nam Nha Trang về tình trạng ăn ở và quá trình cư trú của hộ gia đình tại vị trí thửa đất thu hồi.
</t>
    </r>
    <r>
      <rPr>
        <b/>
        <sz val="14"/>
        <rFont val="Times New Roman"/>
        <family val="1"/>
      </rPr>
      <t>=&gt; Kết luận:</t>
    </r>
    <r>
      <rPr>
        <sz val="14"/>
        <rFont val="Times New Roman"/>
        <family val="1"/>
      </rPr>
      <t xml:space="preserve">
Nguồn gốc sử dụng đất </t>
    </r>
    <r>
      <rPr>
        <b/>
        <sz val="14"/>
        <rFont val="Times New Roman"/>
        <family val="1"/>
      </rPr>
      <t>Thửa đất số 94, tờ bản đồ số 10 - 353599-1</t>
    </r>
    <r>
      <rPr>
        <sz val="14"/>
        <rFont val="Times New Roman"/>
        <family val="1"/>
      </rPr>
      <t xml:space="preserve"> (theo Bản đồ địa chính phường Nam Nha Trang - Đo đạc bổ sung), Tổng diện tích: 111,5m², diện tích thu hồi: 111,5m², diện tích còn lại: 0m2 thuộc Bản đồ địa chính phường Nam Nha Trang được Sở Nông nghiệp và Môi trường thẩm định ngày 05/5/2026, </t>
    </r>
    <r>
      <rPr>
        <b/>
        <sz val="14"/>
        <rFont val="Times New Roman"/>
        <family val="1"/>
      </rPr>
      <t>thuộc</t>
    </r>
    <r>
      <rPr>
        <sz val="14"/>
        <rFont val="Times New Roman"/>
        <family val="1"/>
      </rPr>
      <t xml:space="preserve">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
</t>
    </r>
    <r>
      <rPr>
        <b/>
        <sz val="14"/>
        <rFont val="Times New Roman"/>
        <family val="1"/>
      </rPr>
      <t xml:space="preserve">* Tình hình tranh chấp đối với thửa đất:
</t>
    </r>
    <r>
      <rPr>
        <sz val="14"/>
        <rFont val="Times New Roman"/>
        <family val="1"/>
      </rPr>
      <t>Hiện hộ ông Lương Văn Quang đang sử dụng ổn định phần diện tích 111,5m2 từ sau năm 2015 cho đến nay, không lấn chiếm, không tranh chấp, không thuộc trường hợp đất 5%, đất công, đất khác do Nhà nước quản lý, không có đơn thư ngăn chặn, tài sản không bị phong toả để đảm bảo thi hành án.</t>
    </r>
    <r>
      <rPr>
        <b/>
        <sz val="14"/>
        <color rgb="FFFF0000"/>
        <rFont val="Times New Roman"/>
        <family val="1"/>
      </rPr>
      <t xml:space="preserve">
</t>
    </r>
    <r>
      <rPr>
        <b/>
        <sz val="14"/>
        <rFont val="Times New Roman"/>
        <family val="1"/>
      </rPr>
      <t xml:space="preserve">- Trường hợp diện tích đất thể hiện trên giấy tờ về quyền sử dụng đất có sự chênh lệch so với diện tích đất thực tế đang sử dụng:
</t>
    </r>
    <r>
      <rPr>
        <sz val="14"/>
        <rFont val="Times New Roman"/>
        <family val="1"/>
      </rPr>
      <t xml:space="preserve">- Diện tích theo giấy tờ: m2 
- Diện tích đất thực tế đang sử dụng: m2
- Diện tích đất chênh lệch tăng/giảm: </t>
    </r>
    <r>
      <rPr>
        <sz val="14"/>
        <color rgb="FFFF0000"/>
        <rFont val="Times New Roman"/>
        <family val="1"/>
      </rPr>
      <t xml:space="preserve">
</t>
    </r>
    <r>
      <rPr>
        <sz val="14"/>
        <rFont val="Times New Roman"/>
        <family val="1"/>
      </rPr>
      <t>*</t>
    </r>
    <r>
      <rPr>
        <b/>
        <sz val="14"/>
        <rFont val="Times New Roman"/>
        <family val="1"/>
      </rPr>
      <t>Trường hợp địa chỉ thửa đất thực tế đang sử dụng khác với địa chỉ thể hiện trên giấy tờ:</t>
    </r>
    <r>
      <rPr>
        <sz val="14"/>
        <rFont val="Times New Roman"/>
        <family val="1"/>
      </rPr>
      <t xml:space="preserve">
- Địa chỉ thửa đất theo giấy tờ: thôn Vĩnh Xuân, xã Vĩnh Thái, Nha Trang
- Địa chỉ đất giải tỏa: Tổ dân phố Vĩnh Xuân, phường Nam Nha Trang.</t>
    </r>
    <r>
      <rPr>
        <sz val="14"/>
        <color rgb="FFFF0000"/>
        <rFont val="Times New Roman"/>
        <family val="1"/>
      </rPr>
      <t xml:space="preserve">
</t>
    </r>
    <r>
      <rPr>
        <sz val="14"/>
        <rFont val="Times New Roman"/>
        <family val="1"/>
      </rPr>
      <t>Hai địa chỉ là cùng một thửa đất.</t>
    </r>
    <r>
      <rPr>
        <sz val="14"/>
        <color rgb="FFFF0000"/>
        <rFont val="Times New Roman"/>
        <family val="1"/>
      </rPr>
      <t xml:space="preserve">
</t>
    </r>
    <r>
      <rPr>
        <b/>
        <sz val="14"/>
        <rFont val="Times New Roman"/>
        <family val="1"/>
      </rPr>
      <t>* Các loại giấy tờ, tài liệu, người làm chứng làm căn cứ xác nhận các nội dung trên: (Giấy tờ kèm theo hồ sơ)</t>
    </r>
    <r>
      <rPr>
        <sz val="14"/>
        <rFont val="Times New Roman"/>
        <family val="1"/>
      </rPr>
      <t xml:space="preserve">
- Hồ sơ địa chính xã năm 2002, 2015;
- Biên bản họp xác minh nguồn gốc nhà, đất ngày27/7/2026;
- Biên bản kiểm kê khối lượng giải tỏa ngày24/6/2026;
- Phiếu xác nhận kết quả đo đạc địa chính thửa đất số 94 tờ bản đồ số 10;
- Bản tự kê khai ngày của ông Lương Văn Quang;
- Giấy bán đìa tôm của ông Nguyễn Thành chuyển nhượng quyền sử dụng đất cho ông Trần Văn Minh, giấy viết tay ký ngày 07/01/1999 không có xác nhận của cơ quan có thẩm quyền.
- Giấy bán đìa nuôi tôm của ông Trần Văn Minh chuyển nhượng quyền sử dụng đất cho ông Lương Văn Quang, giấy viết tay ký ngày 16/4/2006 không có xác nhận của cơ quan có thẩm quyền.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t>
    </r>
  </si>
  <si>
    <r>
      <t xml:space="preserve">* Căn cứ pháp lý áp dụng:
- Biên bản kiểm kê khối lượng giải tỏa: </t>
    </r>
    <r>
      <rPr>
        <sz val="14"/>
        <rFont val="Times New Roman"/>
        <family val="1"/>
      </rPr>
      <t>ngày 15/6/2026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 xml:space="preserve">Quyết định số 32/2026/QĐ-UBND ngày 29/4/2026 của UBND tỉnh Khánh Hòa Quy định một số biện pháp hỗ trợ khác khi Nhà nước thu hồi đất trên địa bàn tỉnh Khánh Hòa.
- Căn cứ Biên bản làm việc về nội dung: xác minh tình trạng sinh sống ăn ở thực tế tại địa phương ngày 19/8/2026 Tổ công tác xác nhận </t>
    </r>
    <r>
      <rPr>
        <b/>
        <sz val="14"/>
        <rFont val="Times New Roman"/>
        <family val="1"/>
      </rPr>
      <t xml:space="preserve">ông Lương Văn Quang không thường xuyên sinh sống, ăn ở, sinh hoạt </t>
    </r>
    <r>
      <rPr>
        <sz val="14"/>
        <rFont val="Times New Roman"/>
        <family val="1"/>
      </rPr>
      <t>tại khu vực UBND phường Nam Nha Trang ban hành Thông báo số 2510/TB-UBND ngày 15/05/2026 về việc thu hồi đất để thực hiện dự án Bệnh viện đa khoa tỉnh Khánh Hòa.</t>
    </r>
  </si>
  <si>
    <r>
      <t xml:space="preserve">1. Hỗ trợ đào tạo, chuyển đổi nghề và tìm kiếm việc làm: </t>
    </r>
    <r>
      <rPr>
        <i/>
        <sz val="14"/>
        <rFont val="Times New Roman"/>
        <family val="1"/>
      </rPr>
      <t>(Hộ ông Đồng Đức Sang không trực tiếp sản xuất nông nghiệp tại vị trí thửa đất giải tỏa)</t>
    </r>
    <r>
      <rPr>
        <b/>
        <sz val="14"/>
        <rFont val="Times New Roman"/>
        <family val="1"/>
      </rPr>
      <t/>
    </r>
  </si>
  <si>
    <r>
      <t>2. Hỗ trợ ổn định đời sống:</t>
    </r>
    <r>
      <rPr>
        <b/>
        <i/>
        <sz val="14"/>
        <rFont val="Times New Roman"/>
        <family val="1"/>
      </rPr>
      <t xml:space="preserve"> </t>
    </r>
    <r>
      <rPr>
        <i/>
        <sz val="14"/>
        <rFont val="Times New Roman"/>
        <family val="1"/>
      </rPr>
      <t xml:space="preserve">(Hộ ông Đồng Đức Sang thực tế không tham gia sản xuất nông nghiêp trên đất thu hồi) </t>
    </r>
  </si>
  <si>
    <r>
      <rPr>
        <b/>
        <sz val="14"/>
        <color theme="1"/>
        <rFont val="Times New Roman"/>
        <family val="1"/>
      </rPr>
      <t xml:space="preserve">"* Giấy xác nhận về thửa đất bị thu hồi để phục vụ cho công tác bồi thường,  hỗ trợ,  tái định cư khi Nhà nước thu hồi đất số 10632/GXN-KTHTĐT ngày 19/8/2026 của Phòng Kinh tế, Hạ tầng và Đô thị phường Nam Nha Trang xác nhận:
 - Về thông tin nguồn gốc đất: </t>
    </r>
    <r>
      <rPr>
        <sz val="14"/>
        <color theme="1"/>
        <rFont val="Times New Roman"/>
        <family val="1"/>
      </rPr>
      <t xml:space="preserve">
</t>
    </r>
    <r>
      <rPr>
        <b/>
        <sz val="14"/>
        <color theme="1"/>
        <rFont val="Times New Roman"/>
        <family val="1"/>
      </rPr>
      <t xml:space="preserve">* Thửa đất số 214 tờ bản đồ số 10 - 353599-1 </t>
    </r>
    <r>
      <rPr>
        <sz val="14"/>
        <color theme="1"/>
        <rFont val="Times New Roman"/>
        <family val="1"/>
      </rPr>
      <t xml:space="preserve">(theo Bản đồ địa chính phường Nam Nha Trang - Đo đạc bổ sung), Tổng diện tích: 100 m², diện tích thu hồi: 100m², diện tích còn lại: 0m2 (tách ra từ thửa 76 thuộc Bản đồ địa chính phường Nam Nha Trang, đo đạc bổ sung tháng 4/2026 được Sở Nông nghiệp và Môi trường thẩm định ngày 05/5/2026); đối chiếu tương ứng các thửa đất:
</t>
    </r>
    <r>
      <rPr>
        <i/>
        <sz val="14"/>
        <color theme="1"/>
        <rFont val="Times New Roman"/>
        <family val="1"/>
      </rPr>
      <t xml:space="preserve">+ Theo Sổ dã ngoại và Bản đồ địa chính xã Vĩnh Thái năm 1996: Thửa đất chưa được đo vẽ.
+ Đối chiếu bản đồ và sổ mục kê năm 2002: Thửa đất thu hồi tương ứng một phần thửa đất số 456 tờ bản đồ số 07, diện tích: 1.765m2, loại đất: Ao (hồ), tên kê khai: đất UBND xã quản lý, ghi chú: đất UBND xã, một phần thửa đất số 457 tờ bản đồ số 7, diện tích: 9.130m2, loại đất: Ao (hồ), tên kê khai: đất LD thủy sản, ghi chú: </t>
    </r>
    <r>
      <rPr>
        <b/>
        <i/>
        <sz val="14"/>
        <color theme="1"/>
        <rFont val="Times New Roman"/>
        <family val="1"/>
      </rPr>
      <t>đất UBND xã</t>
    </r>
    <r>
      <rPr>
        <i/>
        <sz val="14"/>
        <color theme="1"/>
        <rFont val="Times New Roman"/>
        <family val="1"/>
      </rPr>
      <t xml:space="preserve">.
+ Đối chiếu Bản đồ ĐC và sổ mục kê năm 2015: Thửa đất thu hồi tương ứng một phần thửa đất số 216, tờ bản đồ số 10, diện tích 10.738,4m2, loại đất: TSL do ông Điểm đứng tên kê khai.
+ </t>
    </r>
    <r>
      <rPr>
        <b/>
        <i/>
        <sz val="14"/>
        <color theme="1"/>
        <rFont val="Times New Roman"/>
        <family val="1"/>
      </rPr>
      <t>Vị trí thửa đất thu hồi nằm trong Danh sách Kết luận thanh tra</t>
    </r>
    <r>
      <rPr>
        <i/>
        <sz val="14"/>
        <color theme="1"/>
        <rFont val="Times New Roman"/>
        <family val="1"/>
      </rPr>
      <t xml:space="preserve"> Theo Thông báo số 749/TB-UBND-TTra ngày 18/6/2025 của Chủ tịch UBND thành phố Nha Trang, đính kèm Kết luận thanh tra số 511/KL-TTra-KTXH ngày 13/6/2025 của Chánh Thanh tra thành phố Nha Trang, tại Phụ lục I – STT 956, 957 ghi nhận: thửa đất số 456, tờ bản đồ số 07, diện tích 1.765m2 (loại đất Ao (Hồ)), thửa đất số 457, tờ bản đồ số 07, diện tích 9.130m2 (loại đất Ao (Hồ)) thuộc Danh sách các loại đất khác do Nhà nước quản lý theo Sổ mục kê năm 2002, hiện trạng do người dân đang sử dụng.</t>
    </r>
    <r>
      <rPr>
        <sz val="14"/>
        <color theme="1"/>
        <rFont val="Times New Roman"/>
        <family val="1"/>
      </rPr>
      <t xml:space="preserve">
</t>
    </r>
    <r>
      <rPr>
        <b/>
        <sz val="14"/>
        <color theme="1"/>
        <rFont val="Times New Roman"/>
        <family val="1"/>
      </rPr>
      <t xml:space="preserve"> + Nguồn gốc đất:  
* Theo giấy tờ nguồn gốc đất do hộ gia đình cung cấp:</t>
    </r>
    <r>
      <rPr>
        <sz val="14"/>
        <color theme="1"/>
        <rFont val="Times New Roman"/>
        <family val="1"/>
      </rPr>
      <t xml:space="preserve">
- Ngày 01/9/1998, ông Nguyễn Chí Thấu có thông báo nộp thuế sử dụng đất nông nghiệp và thuế đất.
- Ngày 25/02/1999, ông Nguyễn Chí Thấu và vợ là bà Lê Thị Kim Yến lập giấy chuyển quyền sử dụng đìa tôm cho ông Trần Văn Minh và bà Nguyễn Thị Long diện tích 10.000m2, giấy viết tay, không có xác nhận của cơ quan có thẩm quyền.
- Ngày 19/8/1999, ông Trần Văn Minh và bà Nguyễn Thị Long lập giấy chuyển nhượng quyền sử dụng đìa tôm cho ông Lê Thế Lởn và bà Trần Thị Em  diện tích 10.000m2, giấy viết tay, không có xác nhận của cơ quan có thẩm quyền.
- Ngày 01/12/2000, ông Lê Thế Lởn và bà Trần Thị Em lập giấy chuyển nhượng quyền sử dụng đìa tôm cho bà Nguyễn Thị Điểm diện tích 10.000m2, giấy viết tay, không có xác nhận của cơ quan có thẩm quyền.
-Ngày 05/5/2004, bà Nguyễn Thị Điểm lập giấy sang nhượng thành quả lao động cho bà Nguyễn Thị Thi diện tích 5.000m2, giấy viết tay, không có xác nhận của cơ quan có thẩm quyền.
- Ngày 10/9/2019, bà Nguyễn Thị Thi và ông Nguyễn Thế Tuy lập giấy sang nhượng quyền sử dụng đất cho ông Đồng Đức Sang diện tích 100m2, giấy viết tay, không có xác nhận của cơ quan có thẩm quyền.
</t>
    </r>
    <r>
      <rPr>
        <b/>
        <sz val="14"/>
        <color theme="1"/>
        <rFont val="Times New Roman"/>
        <family val="1"/>
      </rPr>
      <t>Diện tích kê khai sử dụng của hộ ông Đồng Đức Sang là:</t>
    </r>
    <r>
      <rPr>
        <sz val="14"/>
        <color theme="1"/>
        <rFont val="Times New Roman"/>
        <family val="1"/>
      </rPr>
      <t xml:space="preserve">
- Tổng diện tích đất: 100m²
- Diện tích thu hồi: 100m2
- Diện tích còn lại: 0,0m2
- Loại đất: TSL (Theo hồ sơ địa chính năm 2002 + 2015) nhưng hộ dân đã tự sang lấp mặt bằng và sử dụng vào mục đích khác.
- Thời điểm sử dụng đất: năm 2019.
- Thời điểm hình thành tài sản, vật kiến trúc: không có.
- Thời điểm tạo lập cây trồng, vật nuôi: không có.
- Tổng diện tích đất nông nghiệp của hộ gia đình tại thửa đất bị thu hồi: 100m2
- Tổng diện tích đất nông nghiệp của hộ gia đình tại địa phương: 100m2
- Hộ ông Đồng Đức Sang không trực tiếp sản xuất nông nghiệp tại vị trí thửa đất thu hồi.
</t>
    </r>
    <r>
      <rPr>
        <b/>
        <sz val="14"/>
        <color theme="1"/>
        <rFont val="Times New Roman"/>
        <family val="1"/>
      </rPr>
      <t xml:space="preserve">=&gt; Kết luận: </t>
    </r>
    <r>
      <rPr>
        <sz val="14"/>
        <color theme="1"/>
        <rFont val="Times New Roman"/>
        <family val="1"/>
      </rPr>
      <t xml:space="preserve">
Nguồn gốc sử dụng đất </t>
    </r>
    <r>
      <rPr>
        <b/>
        <sz val="14"/>
        <color theme="1"/>
        <rFont val="Times New Roman"/>
        <family val="1"/>
      </rPr>
      <t>Thửa đất số 214, tờ bản đồ số 10 - 353599-1</t>
    </r>
    <r>
      <rPr>
        <sz val="14"/>
        <color theme="1"/>
        <rFont val="Times New Roman"/>
        <family val="1"/>
      </rPr>
      <t xml:space="preserve"> (theo Bản đồ địa chính phường Nam Nha Trang - Đo đạc bổ sung), Tổng diện tích: 100m², diện tích thu hồi: 100m², diện tích còn lại: 0m2 thuộc Bản đồ địa chính phường Nam Nha Trang được Sở Nông nghiệp và Môi trường thẩm định ngày 05/5/2026, </t>
    </r>
    <r>
      <rPr>
        <b/>
        <sz val="14"/>
        <color theme="1"/>
        <rFont val="Times New Roman"/>
        <family val="1"/>
      </rPr>
      <t>thuộc</t>
    </r>
    <r>
      <rPr>
        <sz val="14"/>
        <color theme="1"/>
        <rFont val="Times New Roman"/>
        <family val="1"/>
      </rPr>
      <t xml:space="preserve">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t>
    </r>
    <r>
      <rPr>
        <b/>
        <sz val="14"/>
        <color theme="1"/>
        <rFont val="Times New Roman"/>
        <family val="1"/>
      </rPr>
      <t xml:space="preserve">
- Quá trình sử dụng, thay đổi đất, nhà, vật kiến trúc xây dựng trên đất:</t>
    </r>
    <r>
      <rPr>
        <sz val="14"/>
        <color theme="1"/>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color theme="1"/>
        <rFont val="Times New Roman"/>
        <family val="1"/>
      </rPr>
      <t xml:space="preserve">* Tình hình tranh chấp đối với thửa đất: </t>
    </r>
    <r>
      <rPr>
        <sz val="14"/>
        <color theme="1"/>
        <rFont val="Times New Roman"/>
        <family val="1"/>
      </rPr>
      <t xml:space="preserve">
Hiện hộ ông Đồng Đức Sang đang sử dụng ổn định phần diện tích 100m2 từ năm 2019 cho đến nay, không lấn chiếm, không tranh chấp, không thuộc trường hợp đất 5%, đất công, đất khác do Nhà nước quản lý, không có đơn thư ngăn chặn, tài sản không bị phong toả để đảm bảo thi hành án.
</t>
    </r>
    <r>
      <rPr>
        <b/>
        <sz val="14"/>
        <color theme="1"/>
        <rFont val="Times New Roman"/>
        <family val="1"/>
      </rPr>
      <t>* Trường hợp diện tích đất thể hiện trên giấy tờ về quyền sử dụng đất có sự chênh lệch so với diện tích đất thực tế đang sử dụng:</t>
    </r>
    <r>
      <rPr>
        <sz val="14"/>
        <color theme="1"/>
        <rFont val="Times New Roman"/>
        <family val="1"/>
      </rPr>
      <t xml:space="preserve">
- Diện tích theo giấy tờ:m²
- Diện tích đất thực tế đang sử dụng: m²
- Diện tích đất chênh lệch tăng/giảm: 
</t>
    </r>
    <r>
      <rPr>
        <b/>
        <sz val="14"/>
        <color theme="1"/>
        <rFont val="Times New Roman"/>
        <family val="1"/>
      </rPr>
      <t>* Trường hợp địa chỉ thửa đất thực tế đang sử dụng khác với địa chỉ thể hiện trên giấy tờ:</t>
    </r>
    <r>
      <rPr>
        <sz val="14"/>
        <color theme="1"/>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color theme="1"/>
        <rFont val="Times New Roman"/>
        <family val="1"/>
      </rPr>
      <t>* Các loại giấy tờ, tài liệu, người làm chứng làm căn cứ xác nhận các nội dung trên:</t>
    </r>
    <r>
      <rPr>
        <sz val="14"/>
        <color theme="1"/>
        <rFont val="Times New Roman"/>
        <family val="1"/>
      </rPr>
      <t xml:space="preserve"> </t>
    </r>
    <r>
      <rPr>
        <i/>
        <sz val="14"/>
        <color theme="1"/>
        <rFont val="Times New Roman"/>
        <family val="1"/>
      </rPr>
      <t>(Giấy tờ kèm theo hồ sơ)</t>
    </r>
    <r>
      <rPr>
        <sz val="14"/>
        <color theme="1"/>
        <rFont val="Times New Roman"/>
        <family val="1"/>
      </rPr>
      <t xml:space="preserve">
- Hồ sơ địa chính xã năm 2002, 2015;
- Biên bản họp xác minh nguồn gốc nhà, đất ngày 13/8/2026;
- Biên bản kiểm kê khối lượng giải tỏa ngày 28/7/2026;
- Phiếu xác nhận kết quả đo đạc địa chính thửa đất số 214 tờ bản đồ số 10;
- Bản tự kê khai của ông Đồng Đức Sang.
- Thông báo nộp thuế sử dụng đất nông nghiệp và thuế đất ngày 01/9/1998 của ông Nguyễn Chí Thấu.
- Giấy chuyển quyền sử dụng đìa tôm của ông Nguyễn Chí Thấu và bà Lê Thị Kim Yến bán cho ông Trần Văn Minh và bà Nguyễn Thị Long diện tích 10.000m2, giấy viết tay ngày 25/02/1999, không có xác nhận của cơ quan có thẩm quyền.
- Giấy chuyển nhượng quyền sử dụng đìa tôm của ông Trần Văn Minh và bà Nguyễn Thị Long bán cho ông Lê Thế Lởn và bà Trần Thị Em  diện tích 10.000m2, giấy viết tay ngày 19/8/1999, không có xác nhận của cơ quan có thẩm quyền.
- Giấy chuyển nhượng quyền sử dụng đìa tôm của ông Lê Thế Lởn và bà Trần Thị Em bán cho bà Nguyễn Thị Điểm diện tích 10.000m2, giấy viết tay ngày 01/12/2000, không có xác nhận của cơ quan có thẩm quyền.
- Giấy sang nhượng thành quả lao động của bà Nguyễn Thị Điểm bán cho bà Nguyễn Thị Thi diện tích 5.000m2, giấy viết tay ngày 05/5/2004, không có xác nhận của cơ quan có thẩm quyền.
- Giấy sang nhượng thành quả lao động của bà Nguyễn Thị Thi bán cho ông Đồng Đức Sang diện tích 100m2, giấy viết tay ngày 10/9/2019, không có xác nhận của cơ quan có thẩm quyền.
- CCCD số 031082018494 do Cục QLHC về TTXH cấp ngày 13/3/2022 cho ông Đồng Đức Sang;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</si>
  <si>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t xml:space="preserve"> Đã hỗ trợ khen thưởng tại thửa đất số 214</t>
  </si>
  <si>
    <r>
      <rPr>
        <b/>
        <sz val="14"/>
        <color theme="1"/>
        <rFont val="Times New Roman"/>
        <family val="1"/>
      </rPr>
      <t xml:space="preserve">"* Giấy xác nhận về thửa đất bị thu hồi để phục vụ cho công tác bồi thường,  hỗ trợ,  tái định cư khi Nhà nước thu hồi đất số 10633/GXN-KTHTĐT ngày 19/8/2026 của Phòng Kinh tế, Hạ tầng và Đô thị phường Nam Nha Trang xác nhận:
 - Về thông tin nguồn gốc đất: </t>
    </r>
    <r>
      <rPr>
        <sz val="14"/>
        <color theme="1"/>
        <rFont val="Times New Roman"/>
        <family val="1"/>
      </rPr>
      <t xml:space="preserve">
</t>
    </r>
    <r>
      <rPr>
        <b/>
        <sz val="14"/>
        <color theme="1"/>
        <rFont val="Times New Roman"/>
        <family val="1"/>
      </rPr>
      <t xml:space="preserve">* Thửa đất số 265 tờ bản đồ số 10 - 353599-1 </t>
    </r>
    <r>
      <rPr>
        <sz val="14"/>
        <color theme="1"/>
        <rFont val="Times New Roman"/>
        <family val="1"/>
      </rPr>
      <t>(theo Bản đồ địa chính phường Nam Nha Trang - Đo đạc bổ sung), Tổng diện tích: 100 m², diện tích thu hồi: 100m², diện tích còn lại: 0m2 (tách ra từ thửa 99 thuộc Bản đồ địa chính phường Nam Nha Trang, đo đạc bổ sung tháng 4/2026 được Sở Nông nghiệp và Môi trường thẩm định ngày 05/5/2026); đối chiếu tương ứng các thửa đất:</t>
    </r>
    <r>
      <rPr>
        <b/>
        <sz val="14"/>
        <color theme="1"/>
        <rFont val="Times New Roman"/>
        <family val="1"/>
      </rPr>
      <t xml:space="preserve">
</t>
    </r>
    <r>
      <rPr>
        <i/>
        <sz val="14"/>
        <color theme="1"/>
        <rFont val="Times New Roman"/>
        <family val="1"/>
      </rPr>
      <t xml:space="preserve">+ Theo Sổ dã ngoại và Bản đồ địa chính xã Vĩnh Thái năm 1996: Thửa đất chưa được đo vẽ.
+ Đối chiếu bản đồ và sổ mục kê năm 2002: Thửa đất thu hồi tương ứng một phần thửa đất số 457 tờ bản đồ số 7, diện tích: 9.130m2, loại đất: Ao (hồ), tên kê khai: đất LD thủy sản, ghi chú: </t>
    </r>
    <r>
      <rPr>
        <b/>
        <i/>
        <sz val="14"/>
        <color theme="1"/>
        <rFont val="Times New Roman"/>
        <family val="1"/>
      </rPr>
      <t>đất UBND xã.</t>
    </r>
    <r>
      <rPr>
        <i/>
        <sz val="14"/>
        <color theme="1"/>
        <rFont val="Times New Roman"/>
        <family val="1"/>
      </rPr>
      <t xml:space="preserve">
+ Đối chiếu Bản đồ ĐC và sổ mục kê năm 2015: Thửa đất thu hồi tương ứng một phần thửa đất số 216, tờ bản đồ số 10, diện tích 10.738,4m2, loại đất: TSL do ông Điểm đứng tên kê khai.
</t>
    </r>
    <r>
      <rPr>
        <b/>
        <i/>
        <sz val="14"/>
        <color theme="1"/>
        <rFont val="Times New Roman"/>
        <family val="1"/>
      </rPr>
      <t xml:space="preserve">+ Vị trí thửa đất thu hồi nằm trong Danh sách Kết luận thanh tra </t>
    </r>
    <r>
      <rPr>
        <i/>
        <sz val="14"/>
        <color theme="1"/>
        <rFont val="Times New Roman"/>
        <family val="1"/>
      </rPr>
      <t>Theo Thông báo số 749/TB-UBND-TTra ngày 18/6/2025 của Chủ tịch UBND thành phố Nha Trang, đính kèm Kết luận thanh tra số 511/KL-TTra-KTXH ngày 13/6/2025 của Chánh Thanh tra thành phố Nha Trang, tại Phụ lục I – STT 957 ghi nhận: thửa đất số 457, tờ bản đồ số 07, diện tích 9.130m2 (loại đất Ao (Hồ)) thuộc Danh sách các loại đất khác do Nhà nước quản lý theo Sổ mục kê năm 2002, hiện trạng do người dân đang sử dụng.</t>
    </r>
    <r>
      <rPr>
        <sz val="14"/>
        <color theme="1"/>
        <rFont val="Times New Roman"/>
        <family val="1"/>
      </rPr>
      <t xml:space="preserve">
</t>
    </r>
    <r>
      <rPr>
        <b/>
        <sz val="14"/>
        <color theme="1"/>
        <rFont val="Times New Roman"/>
        <family val="1"/>
      </rPr>
      <t xml:space="preserve"> + Nguồn gốc đất:  
* Theo giấy tờ nguồn gốc đất do hộ gia đình cung cấp:</t>
    </r>
    <r>
      <rPr>
        <sz val="14"/>
        <color theme="1"/>
        <rFont val="Times New Roman"/>
        <family val="1"/>
      </rPr>
      <t xml:space="preserve">
Ngày 01/9/1998, ông Nguyễn Chí Thấu có thông báo nộp thuế sử dụng đất nông nghiệp và thuế đất.
Ngày 25/02/1999, ông Nguyễn Chí Thấu và vợ là bà Lê Thị Kim Yến lập giấy chuyển quyền sử dụng đìa tôm cho ông Trần Văn Minh và bà Nguyễn Thị Long diện tích 10.000m2, giấy viết tay, không có xác nhận của cơ quan có thẩm quyền.
Ngày 19/8/1999, ông Trần Văn Minh và bà Nguyễn Thị Long lập giấy chuyển nhượng quyền sử dụng đìa tôm cho ông Lê Thế Lởn và bà Trần Thị Em  diện tích 10.000m2, giấy viết tay, không có xác nhận của cơ quan có thẩm quyền.
Ngày 01/12/2000, ông Lê Thế Lởn và bà Trần Thị Em lập giấy chuyển nhượng quyền sử dụng đìa tôm cho bà Nguyễn Thị Điểm diện tích 10.000m2, giấy viết tay, không có xác nhận của cơ quan có thẩm quyền.
Ngày 05/5/2004, bà Nguyễn Thị Điểm lập giấy sang nhượng thành quả lao động cho bà Nguyễn Thị Thi diện tích 5.000m2, giấy viết tay, không có xác nhận của cơ quan có thẩm quyền.
Ngày 16/9/2019, bà Nguyễn Thị Thi và ông Nguyễn Thế Tuy lập giấy sang nhượng quyền sử dụng đất cho ông Đồng Đức Sang diện tích 100m2, giấy viết tay, không có xác nhận của cơ quan có thẩm quyền.
</t>
    </r>
    <r>
      <rPr>
        <b/>
        <sz val="14"/>
        <color theme="1"/>
        <rFont val="Times New Roman"/>
        <family val="1"/>
      </rPr>
      <t>Diện tích kê khai sử dụng của ông Đồng Đức Sang là:</t>
    </r>
    <r>
      <rPr>
        <sz val="14"/>
        <color theme="1"/>
        <rFont val="Times New Roman"/>
        <family val="1"/>
      </rPr>
      <t xml:space="preserve">
- Tổng diện tích đất: 100m²
- Diện tích thu hồi: 100m2
- Diện tích còn lại: 0,0m2
- Loại đất: TSL(Theo hồ sơ địa chính năm 2002 + 2015) nhưng hộ dân đã tự sang lấp mặt bằng và sử dụng vào mục đích khác.
- Thời điểm sử dụng đất: năm 2019.
- Thời điểm hình thành tài sản, vật kiến trúc: không có.
- Thời điểm tạo lập cây trồng, vật nuôi: không có.
- Tổng diện tích đất nông nghiệp của hộ gia đình tại thửa đất bị thu hồi: 100m2
- Tổng diện tích đất nông nghiệp của hộ gia đình tại địa phương: 100m2
</t>
    </r>
    <r>
      <rPr>
        <b/>
        <sz val="14"/>
        <color theme="1"/>
        <rFont val="Times New Roman"/>
        <family val="1"/>
      </rPr>
      <t xml:space="preserve">- Hộ ông Đồng Đức Sang không trực tiếp sản xuất nông nghiệp tại vị trí thửa đất thu hồi.
=&gt; Kết luận: 
</t>
    </r>
    <r>
      <rPr>
        <sz val="14"/>
        <color theme="1"/>
        <rFont val="Times New Roman"/>
        <family val="1"/>
      </rPr>
      <t>Nguồn gốc sử dụng đất</t>
    </r>
    <r>
      <rPr>
        <b/>
        <sz val="14"/>
        <color theme="1"/>
        <rFont val="Times New Roman"/>
        <family val="1"/>
      </rPr>
      <t xml:space="preserve"> Thửa đất số 265, tờ bản đồ số 10 - 353599-1</t>
    </r>
    <r>
      <rPr>
        <sz val="14"/>
        <color theme="1"/>
        <rFont val="Times New Roman"/>
        <family val="1"/>
      </rPr>
      <t xml:space="preserve"> (theo Bản đồ địa chính phường Nam Nha Trang - Đo đạc bổ sung), Tổng diện tích: 100m², diện tích thu hồi: 100m², diện tích còn lại: 0m2 thuộc Bản đồ địa chính phường Nam Nha Trang được Sở Nông nghiệp và Môi trường thẩm định ngày 05/5/2026,</t>
    </r>
    <r>
      <rPr>
        <b/>
        <sz val="14"/>
        <color theme="1"/>
        <rFont val="Times New Roman"/>
        <family val="1"/>
      </rPr>
      <t xml:space="preserve"> thuộc </t>
    </r>
    <r>
      <rPr>
        <sz val="14"/>
        <color theme="1"/>
        <rFont val="Times New Roman"/>
        <family val="1"/>
      </rPr>
      <t>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t>
    </r>
    <r>
      <rPr>
        <b/>
        <sz val="14"/>
        <color theme="1"/>
        <rFont val="Times New Roman"/>
        <family val="1"/>
      </rPr>
      <t xml:space="preserve">
- Quá trình sử dụng, thay đổi đất, nhà, vật kiến trúc xây dựng trên đất:</t>
    </r>
    <r>
      <rPr>
        <sz val="14"/>
        <color theme="1"/>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color theme="1"/>
        <rFont val="Times New Roman"/>
        <family val="1"/>
      </rPr>
      <t xml:space="preserve">* Tình hình tranh chấp đối với thửa đất: </t>
    </r>
    <r>
      <rPr>
        <sz val="14"/>
        <color theme="1"/>
        <rFont val="Times New Roman"/>
        <family val="1"/>
      </rPr>
      <t xml:space="preserve">
- Hiện hộ ông Đồng Đức Sang đang sử dụng ổn định phần diện tích 100m2 từ năm 2019 cho đến nay, không lấn chiếm, không tranh chấp, không thuộc trường hợp đất 5%, đất công, đất khác do Nhà nước quản lý, không có đơn thư ngăn chặn, tài sản không bị phong toả để đảm bảo thi hành án.
</t>
    </r>
    <r>
      <rPr>
        <b/>
        <sz val="14"/>
        <color theme="1"/>
        <rFont val="Times New Roman"/>
        <family val="1"/>
      </rPr>
      <t>* Trường hợp diện tích đất thể hiện trên giấy tờ về quyền sử dụng đất có sự chênh lệch so với diện tích đất thực tế đang sử dụng:</t>
    </r>
    <r>
      <rPr>
        <sz val="14"/>
        <color theme="1"/>
        <rFont val="Times New Roman"/>
        <family val="1"/>
      </rPr>
      <t xml:space="preserve">
- Diện tích theo giấy tờ:m²
- Diện tích đất thực tế đang sử dụng: m²
- Diện tích đất chênh lệch tăng/giảm: 
</t>
    </r>
    <r>
      <rPr>
        <b/>
        <sz val="14"/>
        <color theme="1"/>
        <rFont val="Times New Roman"/>
        <family val="1"/>
      </rPr>
      <t>* Trường hợp địa chỉ thửa đất thực tế đang sử dụng khác với địa chỉ thể hiện trên giấy tờ:</t>
    </r>
    <r>
      <rPr>
        <sz val="14"/>
        <color theme="1"/>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color theme="1"/>
        <rFont val="Times New Roman"/>
        <family val="1"/>
      </rPr>
      <t>* Các loại giấy tờ, tài liệu, người làm chứng làm căn cứ xác nhận các nội dung trên:</t>
    </r>
    <r>
      <rPr>
        <sz val="14"/>
        <color theme="1"/>
        <rFont val="Times New Roman"/>
        <family val="1"/>
      </rPr>
      <t xml:space="preserve"> </t>
    </r>
    <r>
      <rPr>
        <i/>
        <sz val="14"/>
        <color theme="1"/>
        <rFont val="Times New Roman"/>
        <family val="1"/>
      </rPr>
      <t>(Giấy tờ kèm theo hồ sơ)</t>
    </r>
    <r>
      <rPr>
        <sz val="14"/>
        <color theme="1"/>
        <rFont val="Times New Roman"/>
        <family val="1"/>
      </rPr>
      <t xml:space="preserve">
- Hồ sơ địa chính xã năm 2002, 2015;
- Biên bản họp xác minh nguồn gốc nhà, đất ngày 13/8/2026;
- Biên bản kiểm kê khối lượng giải tỏa ngày 28/7/2026;
- Phiếu xác nhận kết quả đo đạc địa chính thửa đất số 214 tờ bản đồ số 10;
- Bản tự kê khai của ông Đồng Đức Sang.
- Thông báo nộp thuế sử dụng đất nông nghiệp và thuế đất ngày 01/9/1998 của ông Nguyễn Chí Thấu.
- Giấy chuyển quyền sử dụng đìa tôm của ông Nguyễn Chí Thấu và bà Lê Thị Kim Yến bán cho ông Trần Văn Minh và bà Nguyễn Thị Long diện tích 10.000m2, giấy viết tay ngày 25/02/1999, không có xác nhận của cơ quan có thẩm quyền.
- Giấy chuyển nhượng quyền sử dụng đìa tôm của ông Trần Văn Minh và bà Nguyễn Thị Long bán cho ông Lê Thế Lởn và bà Trần Thị Em  diện tích 10.000m2, giấy viết tay ngày 19/8/1999, không có xác nhận của cơ quan có thẩm quyền.
- Giấy chuyển nhượng quyền sử dụng đìa tôm của ông Lê Thế Lởn và bà Trần Thị Em bán cho bà Nguyễn Thị Điểm diện tích 10.000m2, giấy viết tay ngày 01/12/2000, không có xác nhận của cơ quan có thẩm quyền.
- Giấy sang nhượng thành quả lao động của bà Nguyễn Thị Điểm bán cho bà Nguyễn Thị Thi diện tích 5.000m2, giấy viết tay ngày 05/5/2004, không có xác nhận của cơ quan có thẩm quyền.
- Giấy sang nhượng thành quả lao động của bà Nguyễn Thị Thi bán cho ông Đồng Đức Sang diện tích 100m2, giấy viết tay ngày 16/9/2019, không có xác nhận của cơ quan có thẩm quyền
- CCCD số 031082018494 do Cục QLHC về TTXH cấp ngày 13/3/2022 cho ông Đồng Đức Sang;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</si>
  <si>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r>
      <rPr>
        <b/>
        <sz val="14"/>
        <color theme="1"/>
        <rFont val="Times New Roman"/>
        <family val="1"/>
      </rPr>
      <t xml:space="preserve">"* Giấy xác nhận về thửa đất bị thu hồi để phục vụ cho công tác bồi thường,  hỗ trợ,  tái định cư khi Nhà nước thu hồi đất số 10634/GXN-KTHTĐT ngày 19/8/2026 của Phòng Kinh tế, Hạ tầng và Đô thị phường Nam Nha Trang xác nhận:
 - Về thông tin nguồn gốc đất: </t>
    </r>
    <r>
      <rPr>
        <sz val="14"/>
        <color theme="1"/>
        <rFont val="Times New Roman"/>
        <family val="1"/>
      </rPr>
      <t xml:space="preserve">
</t>
    </r>
    <r>
      <rPr>
        <b/>
        <sz val="14"/>
        <color theme="1"/>
        <rFont val="Times New Roman"/>
        <family val="1"/>
      </rPr>
      <t xml:space="preserve">* Thửa đất số 272 tờ bản đồ số 10 - 353599-1 </t>
    </r>
    <r>
      <rPr>
        <sz val="14"/>
        <color theme="1"/>
        <rFont val="Times New Roman"/>
        <family val="1"/>
      </rPr>
      <t>(theo Bản đồ địa chính phường Nam Nha Trang - Đo đạc bổ sung), Tổng diện tích: 100 m², diện tích thu hồi: 100m², diện tích còn lại: 0m2 (tách ra từ thửa 99 thuộc Bản đồ địa chính phường Nam Nha Trang, đo đạc bổ sung tháng 4/2026 được Sở Nông nghiệp và Môi trường thẩm định ngày 05/5/2026); đối chiếu tương ứng các thửa đất:</t>
    </r>
    <r>
      <rPr>
        <b/>
        <sz val="14"/>
        <color theme="1"/>
        <rFont val="Times New Roman"/>
        <family val="1"/>
      </rPr>
      <t xml:space="preserve">
</t>
    </r>
    <r>
      <rPr>
        <i/>
        <sz val="14"/>
        <color theme="1"/>
        <rFont val="Times New Roman"/>
        <family val="1"/>
      </rPr>
      <t>+ Theo Sổ dã ngoại và Bản đồ địa chính xã Vĩnh Thái năm 1996: Thửa đất chưa được đo vẽ.
+ Đối chiếu bản đồ và sổ mục kê năm 2002: Thửa đất thu hồi tương ứng một phần thửa đất số 457 tờ bản đồ số 7, diện tích: 9.130m2, loại đất: Ao (hồ), tên kê khai: đất LD thủy sản, ghi chú:</t>
    </r>
    <r>
      <rPr>
        <b/>
        <i/>
        <sz val="14"/>
        <color theme="1"/>
        <rFont val="Times New Roman"/>
        <family val="1"/>
      </rPr>
      <t xml:space="preserve"> đất UBND xã.</t>
    </r>
    <r>
      <rPr>
        <i/>
        <sz val="14"/>
        <color theme="1"/>
        <rFont val="Times New Roman"/>
        <family val="1"/>
      </rPr>
      <t xml:space="preserve">
+ Đối chiếu Bản đồ ĐC và sổ mục kê năm 2015: Thửa đất thu hồi tương ứng một phần thửa đất số 216, tờ bản đồ số 10, diện tích 10.738,4m2, loại đất: TSL do ông Điểm đứng tên kê khai.
+</t>
    </r>
    <r>
      <rPr>
        <b/>
        <i/>
        <sz val="14"/>
        <color theme="1"/>
        <rFont val="Times New Roman"/>
        <family val="1"/>
      </rPr>
      <t xml:space="preserve"> Vị trí thửa đất thu hồi nằm trong Danh sách Kết luận thanh tra</t>
    </r>
    <r>
      <rPr>
        <i/>
        <sz val="14"/>
        <color theme="1"/>
        <rFont val="Times New Roman"/>
        <family val="1"/>
      </rPr>
      <t xml:space="preserve"> Theo Thông báo số 749/TB-UBND-TTra ngày 18/6/2025 của Chủ tịch UBND thành phố Nha Trang, đính kèm Kết luận thanh tra số 511/KL-TTra-KTXH ngày 13/6/2025 của Chánh Thanh tra thành phố Nha Trang, tại Phụ lục I – STT 957 ghi nhận: thửa đất số 457, tờ bản đồ số 07, diện tích 9.130m2 (loại đất Ao (Hồ)) thuộc Danh sách các loại đất khác do Nhà nước quản lý theo Sổ mục kê năm 2002, hiện trạng do người dân đang sử dụng</t>
    </r>
    <r>
      <rPr>
        <b/>
        <sz val="14"/>
        <color theme="1"/>
        <rFont val="Times New Roman"/>
        <family val="1"/>
      </rPr>
      <t>.</t>
    </r>
    <r>
      <rPr>
        <i/>
        <sz val="14"/>
        <color theme="1"/>
        <rFont val="Times New Roman"/>
        <family val="1"/>
      </rPr>
      <t>.</t>
    </r>
    <r>
      <rPr>
        <sz val="14"/>
        <color theme="1"/>
        <rFont val="Times New Roman"/>
        <family val="1"/>
      </rPr>
      <t xml:space="preserve">
</t>
    </r>
    <r>
      <rPr>
        <b/>
        <sz val="14"/>
        <color theme="1"/>
        <rFont val="Times New Roman"/>
        <family val="1"/>
      </rPr>
      <t xml:space="preserve"> + Nguồn gốc đất:  
* Theo giấy tờ nguồn gốc đất do hộ gia đình cung cấp:</t>
    </r>
    <r>
      <rPr>
        <sz val="14"/>
        <color theme="1"/>
        <rFont val="Times New Roman"/>
        <family val="1"/>
      </rPr>
      <t xml:space="preserve">
Ngày 01/9/1998, ông Nguyễn Chí Thấu có thông báo nộp thuế sử dụng đất nông nghiệp và thuế đất.
Ngày 25/02/1999, ông Nguyễn Chí Thấu và vợ là bà Lê Thị Kim Yến lập giấy chuyển quyền sử dụng đìa tôm cho ông Trần Văn Minh và bà Nguyễn Thị Long diện tích 10.000m2, giấy viết tay, không có xác nhận của cơ quan có thẩm quyền.
Ngày 19/8/1999, ông Trần Văn Minh và bà Nguyễn Thị Long lập giấy chuyển nhượng quyền sử dụng đìa tôm cho ông Lê Thế Lởn và bà Trần Thị Em  diện tích 10.000m2, giấy viết tay, không có xác nhận của cơ quan có thẩm quyền.
Ngày 01/12/2000, ông Lê Thế Lởn và bà Trần Thị Em lập giấy chuyển nhượng quyền sử dụng đìa tôm cho bà Nguyễn Thị Điểm diện tích 10.000m2, giấy viết tay, không có xác nhận của cơ quan có thẩm quyền.
Ngày 05/5/2004, bà Nguyễn Thị Điểm lập giấy sang nhượng thành quả lao động cho bà Nguyễn Thị Thi diện tích 5.000m2, giấy viết tay, không có xác nhận của cơ quan có thẩm quyền.
Ngày 10/9/2019, bà Nguyễn Thị Thi và ông Nguyễn Thế Tuy lập giấy sang nhượng quyền sử dụng đất cho ông Đồng Đức Sang diện tích 100m2, giấy viết tay, không có xác nhận của cơ quan có thẩm quyền.
</t>
    </r>
    <r>
      <rPr>
        <b/>
        <sz val="14"/>
        <color theme="1"/>
        <rFont val="Times New Roman"/>
        <family val="1"/>
      </rPr>
      <t>Diện tích kê khai sử dụng của ông Đồng Đức Sang là:</t>
    </r>
    <r>
      <rPr>
        <sz val="14"/>
        <color theme="1"/>
        <rFont val="Times New Roman"/>
        <family val="1"/>
      </rPr>
      <t xml:space="preserve">
- Tổng diện tích đất: 100m²
- Diện tích thu hồi: 100m2
- Diện tích còn lại: 0,0m2
- Loại đất: TSL(Theo hồ sơ địa chính năm 2002 + 2015) nhưng hộ dân đã tự sang lấp mặt bằng và sử dụng vào mục đích khác.
- Thời điểm sử dụng đất: năm 2019.
- Thời điểm hình thành tài sản, vật kiến trúc: không có.
- Thời điểm tạo lập cây trồng, vật nuôi: không có.
- Tổng diện tích đất nông nghiệp của hộ gia đình tại thửa đất bị thu hồi: 100m2
- Tổng diện tích đất nông nghiệp của hộ gia đình tại địa phương: 100m2
</t>
    </r>
    <r>
      <rPr>
        <b/>
        <sz val="14"/>
        <color theme="1"/>
        <rFont val="Times New Roman"/>
        <family val="1"/>
      </rPr>
      <t xml:space="preserve">- Hộ ông Đồng Đức Sang không trực tiếp sản xuất nông nghiệp tại vị trí thửa đất thu hồi.
=&gt; Kết luận: 
</t>
    </r>
    <r>
      <rPr>
        <sz val="14"/>
        <color theme="1"/>
        <rFont val="Times New Roman"/>
        <family val="1"/>
      </rPr>
      <t>Nguồn gốc sử dụng đất</t>
    </r>
    <r>
      <rPr>
        <b/>
        <sz val="14"/>
        <color theme="1"/>
        <rFont val="Times New Roman"/>
        <family val="1"/>
      </rPr>
      <t xml:space="preserve"> Thửa đất số 272, tờ bản đồ số 10 - 353599-1 </t>
    </r>
    <r>
      <rPr>
        <sz val="14"/>
        <color theme="1"/>
        <rFont val="Times New Roman"/>
        <family val="1"/>
      </rPr>
      <t xml:space="preserve">(theo Bản đồ địa chính phường Nam Nha Trang - Đo đạc bổ sung), Tổng diện tích: 100m², diện tích thu hồi: 100m², diện tích còn lại: 0m2 thuộc Bản đồ địa chính phường Nam Nha Trang được Sở Nông nghiệp và Môi trường thẩm định ngày 05/5/2026, </t>
    </r>
    <r>
      <rPr>
        <b/>
        <sz val="14"/>
        <color theme="1"/>
        <rFont val="Times New Roman"/>
        <family val="1"/>
      </rPr>
      <t xml:space="preserve">thuộc </t>
    </r>
    <r>
      <rPr>
        <sz val="14"/>
        <color theme="1"/>
        <rFont val="Times New Roman"/>
        <family val="1"/>
      </rPr>
      <t>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t>
    </r>
    <r>
      <rPr>
        <b/>
        <sz val="14"/>
        <color theme="1"/>
        <rFont val="Times New Roman"/>
        <family val="1"/>
      </rPr>
      <t xml:space="preserve">
- Quá trình sử dụng, thay đổi đất, nhà, vật kiến trúc xây dựng trên đất:</t>
    </r>
    <r>
      <rPr>
        <sz val="14"/>
        <color theme="1"/>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color theme="1"/>
        <rFont val="Times New Roman"/>
        <family val="1"/>
      </rPr>
      <t xml:space="preserve">* Tình hình tranh chấp đối với thửa đất: </t>
    </r>
    <r>
      <rPr>
        <sz val="14"/>
        <color theme="1"/>
        <rFont val="Times New Roman"/>
        <family val="1"/>
      </rPr>
      <t xml:space="preserve">
- Hiện hộ ông Đồng Đức Sang đang sử dụng ổn định phần diện tích 100m2 từ năm 2019 cho đến nay, không lấn chiếm, không tranh chấp, không thuộc trường hợp đất 5%, đất công, đất khác do Nhà nước quản lý, không có đơn thư ngăn chặn, tài sản không bị phong toả để đảm bảo thi hành án.
</t>
    </r>
    <r>
      <rPr>
        <b/>
        <sz val="14"/>
        <color theme="1"/>
        <rFont val="Times New Roman"/>
        <family val="1"/>
      </rPr>
      <t>* Trường hợp diện tích đất thể hiện trên giấy tờ về quyền sử dụng đất có sự chênh lệch so với diện tích đất thực tế đang sử dụng:</t>
    </r>
    <r>
      <rPr>
        <sz val="14"/>
        <color theme="1"/>
        <rFont val="Times New Roman"/>
        <family val="1"/>
      </rPr>
      <t xml:space="preserve">
- Diện tích theo giấy tờ:m²
- Diện tích đất thực tế đang sử dụng: m²
- Diện tích đất chênh lệch tăng/giảm: 
</t>
    </r>
    <r>
      <rPr>
        <b/>
        <sz val="14"/>
        <color theme="1"/>
        <rFont val="Times New Roman"/>
        <family val="1"/>
      </rPr>
      <t>* Trường hợp địa chỉ thửa đất thực tế đang sử dụng khác với địa chỉ thể hiện trên giấy tờ:</t>
    </r>
    <r>
      <rPr>
        <sz val="14"/>
        <color theme="1"/>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color theme="1"/>
        <rFont val="Times New Roman"/>
        <family val="1"/>
      </rPr>
      <t>* Các loại giấy tờ, tài liệu, người làm chứng làm căn cứ xác nhận các nội dung trên:</t>
    </r>
    <r>
      <rPr>
        <sz val="14"/>
        <color theme="1"/>
        <rFont val="Times New Roman"/>
        <family val="1"/>
      </rPr>
      <t xml:space="preserve"> </t>
    </r>
    <r>
      <rPr>
        <i/>
        <sz val="14"/>
        <color theme="1"/>
        <rFont val="Times New Roman"/>
        <family val="1"/>
      </rPr>
      <t>(Giấy tờ kèm theo hồ sơ)</t>
    </r>
    <r>
      <rPr>
        <sz val="14"/>
        <color theme="1"/>
        <rFont val="Times New Roman"/>
        <family val="1"/>
      </rPr>
      <t xml:space="preserve">
- Hồ sơ địa chính xã năm 2002, 2015;
- Biên bản họp xác minh nguồn gốc nhà, đất ngày 13/8/2026;
- Biên bản kiểm kê khối lượng giải tỏa ngày 28/7/2026;
- Phiếu xác nhận kết quả đo đạc địa chính thửa đất số 272 tờ bản đồ số 10;
- Bản tự kê khai của ông Đồng Đức Sang.
- Thông báo nộp thuế sử dụng đất nông nghiệp và thuế đất ngày 01/9/1998 của ông Nguyễn Chí Thấu.
- Giấy chuyển quyền sử dụng đìa tôm của ông Nguyễn Chí Thấu và bà Lê Thị Kim Yến bán cho ông Trần Văn Minh và bà Nguyễn Thị Long diện tích 10.000m2, giấy viết tay ngày 25/02/1999, không có xác nhận của cơ quan có thẩm quyền.
- Giấy chuyển nhượng quyền sử dụng đìa tôm của ông Trần Văn Minh và bà Nguyễn Thị Long bán cho ông Lê Thế Lởn và bà Trần Thị Em  diện tích 10.000m2, giấy viết tay ngày 19/8/1999, không có xác nhận của cơ quan có thẩm quyền.
- Giấy chuyển nhượng quyền sử dụng đìa tôm của ông Lê Thế Lởn và bà Trần Thị Em bán cho bà Nguyễn Thị Điểm diện tích 10.000m2, giấy viết tay ngày 01/12/2000, không có xác nhận của cơ quan có thẩm quyền.
- Giấy sang nhượng thành quả lao động của bà Nguyễn Thị Điểm bán cho bà Nguyễn Thị Thi diện tích 5.000m2, giấy viết tay ngày 05/5/2004, không có xác nhận của cơ quan có thẩm quyền.
- Giấy sang nhượng thành quả lao động của bà Nguyễn Thị Thi bán cho ông Đồng Đức Sang diện tích 100m2, giấy viết tay ngày 10/9/2019, không có xác nhận của cơ quan có thẩm quyền. 
- CCCD số 031082018494 do Cục QLHC về TTXH cấp ngày 13/3/2022 cho ông Đồng Đức Sang;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r>
  </si>
  <si>
    <r>
      <t xml:space="preserve">* Căn cứ pháp lý áp dụng:
- Biên bản kiểm kê khối lượng giải tỏa: </t>
    </r>
    <r>
      <rPr>
        <sz val="14"/>
        <rFont val="Times New Roman"/>
        <family val="1"/>
      </rPr>
      <t>ngày 27/7/2026</t>
    </r>
    <r>
      <rPr>
        <b/>
        <sz val="14"/>
        <rFont val="Times New Roman"/>
        <family val="1"/>
      </rPr>
      <t xml:space="preserve">
- Thông báo thu hồi đất: </t>
    </r>
    <r>
      <rPr>
        <sz val="14"/>
        <rFont val="Times New Roman"/>
        <family val="1"/>
      </rPr>
      <t>số 2510/TB-UBND ngày 15/5/2026 của UBND phường Nam Nha Trang.</t>
    </r>
    <r>
      <rPr>
        <b/>
        <sz val="14"/>
        <rFont val="Times New Roman"/>
        <family val="1"/>
      </rPr>
      <t xml:space="preserve">
</t>
    </r>
    <r>
      <rPr>
        <sz val="14"/>
        <rFont val="Times New Roman"/>
        <family val="1"/>
      </rPr>
      <t>- Quyết định số 08/2026/QĐ-UBND ngày 22/01/2026 của UBND tỉnh Khánh Hòa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Hoà;
- Văn bản số 2093/SXD-KTVLXD ngày 05/3/2026 của Sở Xây Dựng V/v hướng dẫn triển khai thực hiện các Quyết định của UBND tỉnh.</t>
    </r>
    <r>
      <rPr>
        <b/>
        <sz val="14"/>
        <rFont val="Times New Roman"/>
        <family val="1"/>
      </rPr>
      <t xml:space="preserve">
- </t>
    </r>
    <r>
      <rPr>
        <sz val="14"/>
        <rFont val="Times New Roman"/>
        <family val="1"/>
      </rPr>
      <t xml:space="preserve">Quyết định số 32/2026/QĐ-UBND ngày 29/4/2026 của UBND tỉnh Khánh Hòa Quy định một số biện pháp hỗ trợ khác khi Nhà nước thu hồi đất trên địa bàn tỉnh Khánh Hòa.
- Căn cứ Biên bản làm việc về nội dung: xác minh tình trạng sinh sống ăn ở thực tế tại địa phương ngày 15/9/2026 Tổ công tác xác nhận </t>
    </r>
    <r>
      <rPr>
        <b/>
        <sz val="14"/>
        <rFont val="Times New Roman"/>
        <family val="1"/>
      </rPr>
      <t>ông Lê Anh Tuấn</t>
    </r>
    <r>
      <rPr>
        <sz val="14"/>
        <rFont val="Times New Roman"/>
        <family val="1"/>
      </rPr>
      <t xml:space="preserve"> </t>
    </r>
    <r>
      <rPr>
        <b/>
        <sz val="14"/>
        <rFont val="Times New Roman"/>
        <family val="1"/>
      </rPr>
      <t xml:space="preserve">không sinh sống, ăn ở, sinh hoạt </t>
    </r>
    <r>
      <rPr>
        <sz val="14"/>
        <rFont val="Times New Roman"/>
        <family val="1"/>
      </rPr>
      <t>tại khu vực UBND phường Nam Nha Trang ban hành Thông báo số 2510/TB-UBND ngày 15/05/2026 về việc thu hồi đất để thực hiện dự án Bệnh viện đa khoa tỉnh Khánh Hòa.</t>
    </r>
  </si>
  <si>
    <r>
      <t>- Nhà cột kèo sắt, vách tôn, mái lợp tôn, nền xi măng, cửa tôn
DTXD = DTGT: (8m x 6m) = 48m</t>
    </r>
    <r>
      <rPr>
        <vertAlign val="superscript"/>
        <sz val="14"/>
        <rFont val="Times New Roman"/>
        <family val="1"/>
      </rPr>
      <t>2</t>
    </r>
  </si>
  <si>
    <r>
      <t>- Mái che cột kèo sắt, nền xi măng, mái lợp tôn
DT: (2m x 8m) = 16m</t>
    </r>
    <r>
      <rPr>
        <vertAlign val="superscript"/>
        <sz val="14"/>
        <rFont val="Times New Roman"/>
        <family val="1"/>
      </rPr>
      <t>2</t>
    </r>
  </si>
  <si>
    <r>
      <rPr>
        <b/>
        <sz val="14"/>
        <color theme="1"/>
        <rFont val="Times New Roman"/>
        <family val="1"/>
      </rPr>
      <t>"* Giấy xác nhận về thửa đất bị thu hồi để phục vụ cho công tác bồi thường,  hỗ trợ,  tái định cư khi Nhà nước thu hồi đất số 10624/GXN-KTHTĐT ngày 19/8/2026 của Phòng Kinh tế, Hạ tầng và Đô thị phường Nam Nha Trang xác nhận:
 - Về thông tin nguồn gốc đất: 
* Thửa đất số 96 tờ bản đồ số 10 - 353599-1</t>
    </r>
    <r>
      <rPr>
        <sz val="14"/>
        <color theme="1"/>
        <rFont val="Times New Roman"/>
        <family val="1"/>
      </rPr>
      <t xml:space="preserve"> (theo Bản đồ địa chính phường Nam Nha Trang - Đo đạc bổ sung), Tổng diện tích: 200m², diện tích thu hồi: 200m², diện tích còn lại: 0m2 thuộc Bản đồ địa chính phường Nam Nha Trang đo đạc bổ sung tháng 4/2026 được Sở Nông nghiệp và Môi trường thẩm định ngày 05/5/2026, đối chiếu tương ứng các thửa đất:
</t>
    </r>
    <r>
      <rPr>
        <i/>
        <sz val="14"/>
        <color theme="1"/>
        <rFont val="Times New Roman"/>
        <family val="1"/>
      </rPr>
      <t xml:space="preserve">+ Theo Sổ dã ngoại và Bản đồ địa chính xã Vĩnh Thái năm 1996: Thửa đất chưa được đo vẽ.
+ Đối chiếu bản đồ và sổ mục kê năm 2002: Thửa đất thu hồi tương ứng một phần thửa đất số 446 tờ bản đồ số 07, diện tích: 7.345m², loại đất: Ao (hồ) sản, tên kê khai: đất LD thủy sản, ghi chú: đất UBND xã.
+ Đối chiếu Bản đồ ĐC và sổ mục kê năm 2015: Thửa đất thu hồi tương ứng một phần thửa đất số 214, tờ bản đồ số 10, diện tích 6.417,6m², loại đất: TSL do ông Lan đứng tên kê khai (nhưng ý kiến đại diện hộ dân - ông Trần Văn Minh cho rằng thực tế là đất của ông đang quản lý sử dụng, do đoàn đo đạc tại thời điểm đó ghi nhầm)
+ </t>
    </r>
    <r>
      <rPr>
        <b/>
        <i/>
        <sz val="14"/>
        <color theme="1"/>
        <rFont val="Times New Roman"/>
        <family val="1"/>
      </rPr>
      <t xml:space="preserve">Vị trí thửa đất thu hồi nằm trong Danh sách Kết luận thanh tra </t>
    </r>
    <r>
      <rPr>
        <i/>
        <sz val="14"/>
        <color theme="1"/>
        <rFont val="Times New Roman"/>
        <family val="1"/>
      </rPr>
      <t>Theo Thông báo số 749/TB-UBND-TTra ngày 18/6/2025 của Chủ tịch UBND thành phố Nha Trang, đính kèm Kết luận thanh tra số 511/KL-TTra-KTXH ngày 13/6/2025 của Chánh Thanh tra thành phố Nha Trang, tại Phụ lục I – STT 951 ghi nhận: thửa đất số 446, tờ bản đồ số 07, diện tích 7.345m2 (loại đất Ao (Hồ)) thuộc Danh sách các loại đất khác do Nhà nước quản lý theo Sổ mục kê năm 2002, hiện trạng do người dân đang sử dụng.</t>
    </r>
    <r>
      <rPr>
        <sz val="14"/>
        <color theme="1"/>
        <rFont val="Times New Roman"/>
        <family val="1"/>
      </rPr>
      <t xml:space="preserve">
</t>
    </r>
    <r>
      <rPr>
        <b/>
        <sz val="14"/>
        <color theme="1"/>
        <rFont val="Times New Roman"/>
        <family val="1"/>
      </rPr>
      <t xml:space="preserve"> + Nguồn gốc đất:  
* Theo giấy tờ nguồn gốc đất do hộ gia đình cung cấp:</t>
    </r>
    <r>
      <rPr>
        <sz val="14"/>
        <color theme="1"/>
        <rFont val="Times New Roman"/>
        <family val="1"/>
      </rPr>
      <t xml:space="preserve">
Nguồn gốc đất do ông Nguyễn Thành chiếm trước năm 1999, ngày 07/01/1999, ông Nguyễn Thành và vợ là bà Nguyễn Thị Vân lập giấy bán đìa tôm cho ông Trần Văn Minh và vợ là bà Nguyễn Thị Long, giấy viết tay, không có xác nhận của cơ quan có thẩm quyền.
Ngày 26/8/2020, ông Trần Văn Minh lập giấy bán đất cho ông Lê Anh Tuấn diện tích 200m², giấy viết tay, không có xác nhận của cơ quan có thẩm quyền.
</t>
    </r>
    <r>
      <rPr>
        <b/>
        <sz val="14"/>
        <color theme="1"/>
        <rFont val="Times New Roman"/>
        <family val="1"/>
      </rPr>
      <t>Diện tích kê khai sử dụng của hộ ông Lê Anh Tuấn là:</t>
    </r>
    <r>
      <rPr>
        <sz val="14"/>
        <color theme="1"/>
        <rFont val="Times New Roman"/>
        <family val="1"/>
      </rPr>
      <t xml:space="preserve">
- Tổng diện tích đất: 200m²
- Diện tích thu hồi: 200m²
- Diện tích còn lại: 0,0m²
- Loại đất: TSL(Theo hồ sơ địa chính năm 2002 + 2015) nhưng hộ dân đã tự sang lấp mặt bằng và sử dụng vào mục đích khác.
- Thời điểm sử dụng đất: năm 2020.
- Thời điểm hình thành tài sản, vật kiến trúc: năm 2020 đến trước Thông báo thu hồi đất (hiện trạng có nhà trên đất).
- Thời điểm tạo lập cây trồng, vật nuôi: năm 2020 đến trước Thông báo thu hồi đất.
- Tổng diện tích đất nông nghiệp của hộ gia đình tại thửa đất bị thu hồi: 200m²
- Tổng diện tích đất nông nghiệp của hộ gia đình tại địa phương: 200m²
- Tình trạng ăn ở, sinh hoạt tại vị trí giải tỏa: Căn cứ theo xác nhận của Công an phường Nam Nha Trang về tình trạng ở và quá trình cư trú của hộ gia đình tại vị trí thửa đất thu hồi.
</t>
    </r>
    <r>
      <rPr>
        <b/>
        <sz val="14"/>
        <color theme="1"/>
        <rFont val="Times New Roman"/>
        <family val="1"/>
      </rPr>
      <t xml:space="preserve">- Hộ ông Lê Anh Tuấn không trực tiếp sản xuất nông nghiệp tại vị trí thửa đất thu hồi.
=&gt; Kết luận: 
</t>
    </r>
    <r>
      <rPr>
        <sz val="14"/>
        <color theme="1"/>
        <rFont val="Times New Roman"/>
        <family val="1"/>
      </rPr>
      <t xml:space="preserve">Nguồn gốc sử dụng đất </t>
    </r>
    <r>
      <rPr>
        <b/>
        <sz val="14"/>
        <color theme="1"/>
        <rFont val="Times New Roman"/>
        <family val="1"/>
      </rPr>
      <t>Thửa đất số 96, tờ bản đồ số 10 - 353599-1</t>
    </r>
    <r>
      <rPr>
        <sz val="14"/>
        <color theme="1"/>
        <rFont val="Times New Roman"/>
        <family val="1"/>
      </rPr>
      <t xml:space="preserve"> (theo Bản đồ địa chính phường Nam Nha Trang - Đo đạc bổ sung), Tổng diện tích: 200m², diện tích thu hồi: 200m², diện tích còn lại: 0m2 thuộc Bản đồ địa chính phường Nam Nha Trang được Sở Nông nghiệp và Môi trường thẩm định ngày 05/5/2026,</t>
    </r>
    <r>
      <rPr>
        <b/>
        <sz val="14"/>
        <color theme="1"/>
        <rFont val="Times New Roman"/>
        <family val="1"/>
      </rPr>
      <t xml:space="preserve"> thuộc </t>
    </r>
    <r>
      <rPr>
        <sz val="14"/>
        <color theme="1"/>
        <rFont val="Times New Roman"/>
        <family val="1"/>
      </rPr>
      <t>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t>
    </r>
    <r>
      <rPr>
        <b/>
        <sz val="14"/>
        <color theme="1"/>
        <rFont val="Times New Roman"/>
        <family val="1"/>
      </rPr>
      <t xml:space="preserve">
- Quá trình sử dụng, thay đổi đất, nhà, vật kiến trúc xây dựng trên đất:</t>
    </r>
    <r>
      <rPr>
        <sz val="14"/>
        <color theme="1"/>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 Tình hình tranh chấp đối với thửa đất: 
- Hiện hộ ông Lê Anh Tuấn đang sử dụng ổn định phần diện tích 200,0m2từ sau năm 2020 cho đến nay, không lấn chiếm, không tranh chấp, không thuộc trường hợp đất 5%, đất công, đất khác do Nhà nước quản lý, không có đơn thư ngăn chặn, tài sản không bị phong toả để đảm bảo thi hành án.
</t>
    </r>
    <r>
      <rPr>
        <b/>
        <sz val="14"/>
        <color theme="1"/>
        <rFont val="Times New Roman"/>
        <family val="1"/>
      </rPr>
      <t>* Trường hợp diện tích đất thể hiện trên giấy tờ về quyền sử dụng đất có sự chênh lệch so với diện tích đất thực tế đang sử dụng:</t>
    </r>
    <r>
      <rPr>
        <sz val="14"/>
        <color theme="1"/>
        <rFont val="Times New Roman"/>
        <family val="1"/>
      </rPr>
      <t xml:space="preserve">
- Diện tích theo giấy tờ:m²
- Diện tích đất thực tế đang sử dụng: m²
- Diện tích đất chênh lệch tăng/giảm: 
</t>
    </r>
    <r>
      <rPr>
        <b/>
        <sz val="14"/>
        <color theme="1"/>
        <rFont val="Times New Roman"/>
        <family val="1"/>
      </rPr>
      <t>* Trường hợp địa chỉ thửa đất thực tế đang sử dụng khác với địa chỉ thể hiện trên giấy tờ:</t>
    </r>
    <r>
      <rPr>
        <sz val="14"/>
        <color theme="1"/>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color theme="1"/>
        <rFont val="Times New Roman"/>
        <family val="1"/>
      </rPr>
      <t>* Các loại giấy tờ, tài liệu, người làm chứng làm căn cứ xác nhận các nội dung trên:</t>
    </r>
    <r>
      <rPr>
        <sz val="14"/>
        <color theme="1"/>
        <rFont val="Times New Roman"/>
        <family val="1"/>
      </rPr>
      <t xml:space="preserve"> </t>
    </r>
    <r>
      <rPr>
        <i/>
        <sz val="14"/>
        <color theme="1"/>
        <rFont val="Times New Roman"/>
        <family val="1"/>
      </rPr>
      <t>(Giấy tờ kèm theo hồ sơ)</t>
    </r>
    <r>
      <rPr>
        <sz val="14"/>
        <color theme="1"/>
        <rFont val="Times New Roman"/>
        <family val="1"/>
      </rPr>
      <t xml:space="preserve">
- Hồ sơ địa chính xã năm 2002, 2015;
- Biên bản họp xác minh nguồn gốc nhà, đất ngày 13/8/2026;
- Biên bản kiểm kê khối lượng giải tỏa ngày 27/7/2026;
- Phiếu xác nhận kết quả đo đạc địa chính thửa đất số 96 tờ bản đồ số 10;
- Bản tự kê khai của ông Lê Anh Tuấn.
- Giấy bán đìa tôm của ông Nguyễn Thành bán cho ông Trần Văn Minh, giấy viết tay ký ngày 07/01/1999, không có xác nhận của cơ quan có thẩm quyền.
- Giấy bán đất của ông Trần Văn Minh bán cho ông Lê Anh Tuấn, giấy viết tay ký ngày 26/8/2020, không có xác nhận của cơ quan có thẩm quyền.
- CCCD số 056088005080 do Cục QLHC về TTXH cấp ngày 04/8/2022 cho ông Lê Anh Tuấn;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t>
    </r>
  </si>
  <si>
    <r>
      <rPr>
        <b/>
        <sz val="14"/>
        <color theme="1"/>
        <rFont val="Times New Roman"/>
        <family val="1"/>
      </rPr>
      <t>"* Giấy xác nhận về thửa đất bị thu hồi để phục vụ cho công tác bồi thường,  hỗ trợ,  tái định cư khi Nhà nước thu hồi đất số 10625/GXN-KTHTĐT ngày 19/8/2026 của Phòng Kinh tế, Hạ tầng và Đô thị phường Nam Nha Trang xác nhận:
 - Về thông tin nguồn gốc đất: 
* Thửa đất số 97 tờ bản đồ số 10 - 353599-1</t>
    </r>
    <r>
      <rPr>
        <sz val="14"/>
        <color theme="1"/>
        <rFont val="Times New Roman"/>
        <family val="1"/>
      </rPr>
      <t xml:space="preserve"> (theo Bản đồ địa chính phường Nam Nha Trang - Đo đạc bổ sung), Tổng diện tích: 200,6m², diện tích thu hồi: 200,6m², diện tích còn lại: 0m2 thuộc Bản đồ địa chính phường Nam Nha Trang đo đạc bổ sung tháng 4/2026 được Sở Nông nghiệp và Môi trường thẩm định ngày 05/5/2026, đối chiếu tương ứng các thửa đất:</t>
    </r>
    <r>
      <rPr>
        <b/>
        <sz val="14"/>
        <color theme="1"/>
        <rFont val="Times New Roman"/>
        <family val="1"/>
      </rPr>
      <t xml:space="preserve">
</t>
    </r>
    <r>
      <rPr>
        <i/>
        <sz val="14"/>
        <color theme="1"/>
        <rFont val="Times New Roman"/>
        <family val="1"/>
      </rPr>
      <t xml:space="preserve">+ Theo Sổ dã ngoại và Bản đồ địa chính xã Vĩnh Thái năm 1996: Thửa đất chưa được đo vẽ.
+ Đối chiếu bản đồ và sổ mục kê năm 2002: Thửa đất thu hồi tương ứng một phần thửa đất số 446 tờ bản đồ số 07, diện tích: 7.345m2, loại đất: Ao (hồ) sản, tên kê khai: đất LD thủy sản, ghi chú: </t>
    </r>
    <r>
      <rPr>
        <b/>
        <i/>
        <sz val="14"/>
        <color theme="1"/>
        <rFont val="Times New Roman"/>
        <family val="1"/>
      </rPr>
      <t>đất UBND xã.</t>
    </r>
    <r>
      <rPr>
        <i/>
        <sz val="14"/>
        <color theme="1"/>
        <rFont val="Times New Roman"/>
        <family val="1"/>
      </rPr>
      <t xml:space="preserve">
+ Đối chiếu Bản đồ ĐC và sổ mục kê năm 2015: Thửa đất thu hồi tương ứng một phần thửa đất số 214, tờ bản đồ số 10, diện tích 6.417,6m2, loại đất: TSL do ông Lan đứng tên kê khai (nhưng ý kiến đại diện hộ dân - ông Trần Văn Minh cho rằng thực tế là đất của ông đang quản lý sử dụng, do đoàn đo đạc tại thời điểm đó ghi nhầm)
</t>
    </r>
    <r>
      <rPr>
        <b/>
        <i/>
        <sz val="14"/>
        <color theme="1"/>
        <rFont val="Times New Roman"/>
        <family val="1"/>
      </rPr>
      <t>+ Vị trí thửa đất thu hồi nằm trong Danh sách Kết luận thanh tra</t>
    </r>
    <r>
      <rPr>
        <i/>
        <sz val="14"/>
        <color theme="1"/>
        <rFont val="Times New Roman"/>
        <family val="1"/>
      </rPr>
      <t xml:space="preserve"> Theo Thông báo số 749/TB-UBND-TTra ngày 18/6/2025 của Chủ tịch UBND thành phố Nha Trang, đính kèm Kết luận thanh tra số 511/KL-TTra-KTXH ngày 13/6/2025 của Chánh Thanh tra thành phố Nha Trang, tại Phụ lục I – STT 951 ghi nhận: thửa đất số 446, tờ bản đồ số 07, diện tích 7.345m2 (loại đất Ao (Hồ)) thuộc Danh sách các loại đất khác do Nhà nước quản lý theo Sổ mục kê năm 2002, hiện trạng do người dân đang sử dụng.</t>
    </r>
    <r>
      <rPr>
        <sz val="14"/>
        <color theme="1"/>
        <rFont val="Times New Roman"/>
        <family val="1"/>
      </rPr>
      <t xml:space="preserve">
</t>
    </r>
    <r>
      <rPr>
        <b/>
        <sz val="14"/>
        <color theme="1"/>
        <rFont val="Times New Roman"/>
        <family val="1"/>
      </rPr>
      <t xml:space="preserve"> + Nguồn gốc đất:  
* Theo giấy tờ nguồn gốc đất do hộ gia đình cung cấp:</t>
    </r>
    <r>
      <rPr>
        <sz val="14"/>
        <color theme="1"/>
        <rFont val="Times New Roman"/>
        <family val="1"/>
      </rPr>
      <t xml:space="preserve">
Nguồn gốc đất do ông Nguyễn Thành chiếm trước năm 1999, ngày 07/01/1999, ông Nguyễn Thành và vợ là bà Nguyễn Thị Vân lập giấy bán đìa tôm cho ông Trần Văn Minh và vợ là bà Nguyễn Thị Long, giấy viết tay, không có xác nhận của cơ quan có thẩm quyền.
Ngày 02/11/2020, ông Trần Văn Minh lập giấy bán đất cho ông Lê Anh Tuấn diện tích 200m2, giấy viết tay, không có xác nhận của cơ quan có thẩm quyền.
</t>
    </r>
    <r>
      <rPr>
        <b/>
        <sz val="14"/>
        <color theme="1"/>
        <rFont val="Times New Roman"/>
        <family val="1"/>
      </rPr>
      <t>Diện tích kê khai sử dụng của hộ ông Lê Anh Tuấn là:</t>
    </r>
    <r>
      <rPr>
        <sz val="14"/>
        <color theme="1"/>
        <rFont val="Times New Roman"/>
        <family val="1"/>
      </rPr>
      <t xml:space="preserve">
- Tổng diện tích đất: 200,6m²
- Diện tích thu hồi: 200,6m2
- Diện tích còn lại: 0,0m2
- Loại đất: TSL(Theo hồ sơ địa chính năm 2002 + 2015) nhưng hộ dân đã tự sang lấp mặt bằng và sử dụng vào mục đích khác.
- Thời điểm sử dụng đất: năm 2020.
- Thời điểm hình thành tài sản, vật kiến trúc: không có.
- Thời điểm tạo lập cây trồng, vật nuôi: năm 2020 đến trước Thông báo thu hồi đất.
- Tổng diện tích đất nông nghiệp của hộ gia đình tại thửa đất bị thu hồi: 200,6m2
- Tổng diện tích đất nông nghiệp của hộ gia đình tại địa phương: 200,6m2
- Hộ ông Lê Anh Tuấn không trực tiếp sản xuất nông nghiệp tại vị trí thửa đất thu hồi.
</t>
    </r>
    <r>
      <rPr>
        <b/>
        <sz val="14"/>
        <color theme="1"/>
        <rFont val="Times New Roman"/>
        <family val="1"/>
      </rPr>
      <t xml:space="preserve">=&gt; Kết luận: </t>
    </r>
    <r>
      <rPr>
        <sz val="14"/>
        <color theme="1"/>
        <rFont val="Times New Roman"/>
        <family val="1"/>
      </rPr>
      <t xml:space="preserve">
Nguồn gốc sử dụng đất </t>
    </r>
    <r>
      <rPr>
        <b/>
        <sz val="14"/>
        <color theme="1"/>
        <rFont val="Times New Roman"/>
        <family val="1"/>
      </rPr>
      <t xml:space="preserve">Thửa đất số 97, tờ bản đồ số 10 - 353599-1 </t>
    </r>
    <r>
      <rPr>
        <sz val="14"/>
        <color theme="1"/>
        <rFont val="Times New Roman"/>
        <family val="1"/>
      </rPr>
      <t xml:space="preserve">(theo Bản đồ địa chính phường Nam Nha Trang - Đo đạc bổ sung), Tổng diện tích: 200,6m², diện tích thu hồi: 200,6m², diện tích còn lại: 0m2 thuộc Bản đồ địa chính phường Nam Nha Trang được Sở Nông nghiệp và Môi trường thẩm định ngày 05/5/2026, </t>
    </r>
    <r>
      <rPr>
        <b/>
        <sz val="14"/>
        <color theme="1"/>
        <rFont val="Times New Roman"/>
        <family val="1"/>
      </rPr>
      <t>thuộc</t>
    </r>
    <r>
      <rPr>
        <sz val="14"/>
        <color theme="1"/>
        <rFont val="Times New Roman"/>
        <family val="1"/>
      </rPr>
      <t xml:space="preserve"> 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
</t>
    </r>
    <r>
      <rPr>
        <b/>
        <sz val="14"/>
        <color theme="1"/>
        <rFont val="Times New Roman"/>
        <family val="1"/>
      </rPr>
      <t>- Quá trình sử dụng, thay đổi đất, nhà, vật kiến trúc xây dựng trên đất:</t>
    </r>
    <r>
      <rPr>
        <sz val="14"/>
        <color theme="1"/>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color theme="1"/>
        <rFont val="Times New Roman"/>
        <family val="1"/>
      </rPr>
      <t xml:space="preserve">* Tình hình tranh chấp đối với thửa đất: </t>
    </r>
    <r>
      <rPr>
        <sz val="14"/>
        <color theme="1"/>
        <rFont val="Times New Roman"/>
        <family val="1"/>
      </rPr>
      <t xml:space="preserve">
Hiện hộ ông Lê Anh Tuấn đang sử dụng ổn định phần diện tích 200,6m2 từ sau năm 2020 cho đến nay, không lấn chiếm, không tranh chấp, không thuộc trường hợp đất 5%, đất công, đất khác do Nhà nước quản lý, không có đơn thư ngăn chặn, tài sản không bị phong toả để đảm bảo thi hành án.
</t>
    </r>
    <r>
      <rPr>
        <b/>
        <sz val="14"/>
        <color theme="1"/>
        <rFont val="Times New Roman"/>
        <family val="1"/>
      </rPr>
      <t>* Trường hợp diện tích đất thể hiện trên giấy tờ về quyền sử dụng đất có sự chênh lệch so với diện tích đất thực tế đang sử dụng:</t>
    </r>
    <r>
      <rPr>
        <sz val="14"/>
        <color theme="1"/>
        <rFont val="Times New Roman"/>
        <family val="1"/>
      </rPr>
      <t xml:space="preserve">
- Diện tích theo giấy tờ:m²
- Diện tích đất thực tế đang sử dụng: m²
- Diện tích đất chênh lệch tăng/giảm: 
</t>
    </r>
    <r>
      <rPr>
        <b/>
        <sz val="14"/>
        <color theme="1"/>
        <rFont val="Times New Roman"/>
        <family val="1"/>
      </rPr>
      <t>* Trường hợp địa chỉ thửa đất thực tế đang sử dụng khác với địa chỉ thể hiện trên giấy tờ:</t>
    </r>
    <r>
      <rPr>
        <sz val="14"/>
        <color theme="1"/>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color theme="1"/>
        <rFont val="Times New Roman"/>
        <family val="1"/>
      </rPr>
      <t>* Các loại giấy tờ, tài liệu, người làm chứng làm căn cứ xác nhận các nội dung trên:</t>
    </r>
    <r>
      <rPr>
        <sz val="14"/>
        <color theme="1"/>
        <rFont val="Times New Roman"/>
        <family val="1"/>
      </rPr>
      <t xml:space="preserve"> </t>
    </r>
    <r>
      <rPr>
        <i/>
        <sz val="14"/>
        <color theme="1"/>
        <rFont val="Times New Roman"/>
        <family val="1"/>
      </rPr>
      <t>(Giấy tờ kèm theo hồ sơ)</t>
    </r>
    <r>
      <rPr>
        <sz val="14"/>
        <color theme="1"/>
        <rFont val="Times New Roman"/>
        <family val="1"/>
      </rPr>
      <t xml:space="preserve">
- Hồ sơ địa chính xã năm 2002, 2015;
- Biên bản họp xác minh nguồn gốc nhà, đất ngày 13/8/2026;
- Biên bản kiểm kê khối lượng giải tỏa ngày 27/7/2026;
- Phiếu xác nhận kết quả đo đạc địa chính thửa đất số 97 tờ bản đồ số 10;
- Bản tự kê khai của ông Lê Anh Tuấn.
- Giấy bán đìa tôm của ông Nguyễn Thành bán cho ông Trần Văn Minh, giấy viết tay ký ngày 07/01/1999, không có xác nhận của cơ quan có thẩm quyền.
- Giấy bán đất của ông Trần Văn Minh bán cho ông Lê Anh Tuấn, giấy viết tay ký ngày 02/11/2020, không có xác nhận của cơ quan có thẩm quyền.
- CCCD số 056088005080 do Cục QLHC về TTXH cấp ngày 04/8/2022 cho ông Lê Anh Tuấn;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t>
    </r>
  </si>
  <si>
    <t>Hai tỷ, hai trăm bốn mươi tám triệu, một trăm tám mươi lăm nghìn, hai trăm hai mươi sáu đồng.</t>
  </si>
  <si>
    <t>Khánh Hòa, ngày 25 tháng  9  năm 2026</t>
  </si>
  <si>
    <r>
      <rPr>
        <b/>
        <sz val="14"/>
        <color theme="1"/>
        <rFont val="Times New Roman"/>
        <family val="1"/>
      </rPr>
      <t>"* Giấy xác nhận về thửa đất bị thu hồi để phục vụ cho công tác bồi thường,  hỗ trợ,  tái định cư khi Nhà nước thu hồi đất số 10626/GXN-KTHTĐT ngày 19/8/2026 của Phòng Kinh tế, Hạ tầng và Đô thị phường Nam Nha Trang xác nhận:
 - Về thông tin nguồn gốc đất: 
* Thửa đất số 262 tờ bản đồ số 10 - 353599-1</t>
    </r>
    <r>
      <rPr>
        <sz val="14"/>
        <color theme="1"/>
        <rFont val="Times New Roman"/>
        <family val="1"/>
      </rPr>
      <t xml:space="preserve"> (theo Bản đồ địa chính phường Nam Nha Trang - Đo đạc bổ sung), Tổng diện tích: 900m², diện tích thu hồi: 900m², diện tích còn lại: 0m2 (tách ra từ thửa 107 thuộc Bản đồ địa chính phường Nam Nha Trang, đo đạc bổ sung tháng 4/2026 được Sở Nông nghiệp và Môi trường thẩm định ngày 05/5/2026) đối chiếu tương ứng các thửa đất:</t>
    </r>
    <r>
      <rPr>
        <b/>
        <sz val="14"/>
        <color theme="1"/>
        <rFont val="Times New Roman"/>
        <family val="1"/>
      </rPr>
      <t xml:space="preserve">
</t>
    </r>
    <r>
      <rPr>
        <i/>
        <sz val="14"/>
        <color theme="1"/>
        <rFont val="Times New Roman"/>
        <family val="1"/>
      </rPr>
      <t xml:space="preserve">+ Theo Sổ dã ngoại và Bản đồ địa chính xã Vĩnh Thái năm 1996: Thửa đất chưa được đo vẽ.
+ Đối chiếu bản đồ và sổ mục kê năm 2002: Thửa đất thu hồi tương ứng một phần thửa đất số 446 tờ bản đồ số 07, diện tích: 7.345m2, loại đất: Ao (hồ) sản, tên kê khai: đất LD thủy sản, ghi chú: </t>
    </r>
    <r>
      <rPr>
        <b/>
        <i/>
        <sz val="14"/>
        <color theme="1"/>
        <rFont val="Times New Roman"/>
        <family val="1"/>
      </rPr>
      <t>đất UBND xã, và một phần đường bờ đìa.</t>
    </r>
    <r>
      <rPr>
        <i/>
        <sz val="14"/>
        <color theme="1"/>
        <rFont val="Times New Roman"/>
        <family val="1"/>
      </rPr>
      <t xml:space="preserve">
+ Đối chiếu Bản đồ ĐC và sổ mục kê năm 2015: Thửa đất thu hồi tương ứng một phần thửa đất số 214, tờ bản đồ số 10, diện tích 6.417,6m2, loại đất: TSL do ông Lan đứng tên kê khai (nhưng ý kiến đại diện hộ dân - ông Trần Văn Minh cho rằng thực tế là đất của ông đang quản lý sử dụng, do đoàn đo đạc tại thời điểm đó ghi nhầm)
</t>
    </r>
    <r>
      <rPr>
        <b/>
        <i/>
        <sz val="14"/>
        <color theme="1"/>
        <rFont val="Times New Roman"/>
        <family val="1"/>
      </rPr>
      <t>+ Vị trí thửa đất thu hồi nằm trong Danh sách Kết luận thanh tra</t>
    </r>
    <r>
      <rPr>
        <i/>
        <sz val="14"/>
        <color theme="1"/>
        <rFont val="Times New Roman"/>
        <family val="1"/>
      </rPr>
      <t xml:space="preserve"> Theo Thông báo số 749/TB-UBND-TTra ngày 18/6/2025 của Chủ tịch UBND thành phố Nha Trang, đính kèm Kết luận thanh tra số 511/KL-TTra-KTXH ngày 13/6/2025 của Chánh Thanh tra thành phố Nha Trang, tại Phụ lục I – STT 951 ghi nhận: thửa đất số 446, tờ bản đồ số 07, diện tích 7.345m2 (loại đất Ao (Hồ)) thuộc Danh sách các loại đất khác do Nhà nước quản lý theo Sổ mục kê năm 2002, hiện trạng do người dân đang sử dụng.</t>
    </r>
    <r>
      <rPr>
        <sz val="14"/>
        <color theme="1"/>
        <rFont val="Times New Roman"/>
        <family val="1"/>
      </rPr>
      <t xml:space="preserve">
</t>
    </r>
    <r>
      <rPr>
        <b/>
        <sz val="14"/>
        <color theme="1"/>
        <rFont val="Times New Roman"/>
        <family val="1"/>
      </rPr>
      <t xml:space="preserve"> + Nguồn gốc đất:  
* Theo giấy tờ nguồn gốc đất do hộ gia đình cung cấp:</t>
    </r>
    <r>
      <rPr>
        <sz val="14"/>
        <color theme="1"/>
        <rFont val="Times New Roman"/>
        <family val="1"/>
      </rPr>
      <t xml:space="preserve">
Nguồn gốc đất do ông Nguyễn Thành chiếm trước năm 1999, ngày 07/01/1999, ông Nguyễn Thành và vợ là bà Nguyễn Thị Vân lập giấy bán đìa tôm cho ông Trần Văn Minh và vợ là bà Nguyễn Thị Long, giấy viết tay, không có xác nhận của cơ quan có thẩm quyền.
Ngày 08/9/2020, ông Trần Văn Minh lập giấy bán đất cho ông Lê Anh Tuấn diện tích 900m2, giấy viết tay, không có xác nhận của cơ quan có thẩm quyền.
</t>
    </r>
    <r>
      <rPr>
        <b/>
        <sz val="14"/>
        <color theme="1"/>
        <rFont val="Times New Roman"/>
        <family val="1"/>
      </rPr>
      <t>Diện tích kê khai sử dụng của hộ ông Lê Anh Tuấn là:</t>
    </r>
    <r>
      <rPr>
        <sz val="14"/>
        <color theme="1"/>
        <rFont val="Times New Roman"/>
        <family val="1"/>
      </rPr>
      <t xml:space="preserve">
- Tổng diện tích đất: 900m²
- Diện tích thu hồi: 900m2
- Diện tích còn lại: 0,0m2
- Loại đất: TSL</t>
    </r>
    <r>
      <rPr>
        <i/>
        <sz val="14"/>
        <color theme="1"/>
        <rFont val="Times New Roman"/>
        <family val="1"/>
      </rPr>
      <t>(Theo hồ sơ địa chính năm 2002 + 2015)</t>
    </r>
    <r>
      <rPr>
        <sz val="14"/>
        <color theme="1"/>
        <rFont val="Times New Roman"/>
        <family val="1"/>
      </rPr>
      <t xml:space="preserve"> nhưng hộ dân đã tự sang lấp mặt bằng và sử dụng vào mục đích khác.
- Thời điểm sử dụng đất: năm 2020.
- Thời điểm hình thành tài sản, vật kiến trúc: không có.
- Thời điểm tạo lập cây trồng, vật nuôi: năm 2020 đến trước Thông báo thu hồi đất.
- Tổng diện tích đất nông nghiệp của hộ gia đình tại thửa đất bị thu hồi: 900m2
- Tổng diện tích đất nông nghiệp của hộ gia đình tại địa phương: 900m2
</t>
    </r>
    <r>
      <rPr>
        <b/>
        <sz val="14"/>
        <color theme="1"/>
        <rFont val="Times New Roman"/>
        <family val="1"/>
      </rPr>
      <t xml:space="preserve">- Hộ ông Lê Anh Tuấn không trực tiếp sản xuất nông nghiệp tại vị trí thửa đất thu hồi.
=&gt; Kết luận: 
</t>
    </r>
    <r>
      <rPr>
        <sz val="14"/>
        <color theme="1"/>
        <rFont val="Times New Roman"/>
        <family val="1"/>
      </rPr>
      <t>Nguồn gốc sử dụng đất</t>
    </r>
    <r>
      <rPr>
        <b/>
        <sz val="14"/>
        <color theme="1"/>
        <rFont val="Times New Roman"/>
        <family val="1"/>
      </rPr>
      <t xml:space="preserve"> Thửa đất số 262, tờ bản đồ số 10 - 353599-1 </t>
    </r>
    <r>
      <rPr>
        <sz val="14"/>
        <color theme="1"/>
        <rFont val="Times New Roman"/>
        <family val="1"/>
      </rPr>
      <t>(theo Bản đồ địa chính phường Nam Nha Trang - Đo đạc bổ sung), Tổng diện tích: 900m², diện tích thu hồi: 900m², diện tích còn lại: 0m2 thuộc Bản đồ địa chính phường Nam Nha Trang được Sở Nông nghiệp và Môi trường thẩm định ngày 05/5/2026,</t>
    </r>
    <r>
      <rPr>
        <b/>
        <sz val="14"/>
        <color theme="1"/>
        <rFont val="Times New Roman"/>
        <family val="1"/>
      </rPr>
      <t xml:space="preserve"> thuộc </t>
    </r>
    <r>
      <rPr>
        <sz val="14"/>
        <color theme="1"/>
        <rFont val="Times New Roman"/>
        <family val="1"/>
      </rPr>
      <t>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t>
    </r>
    <r>
      <rPr>
        <b/>
        <sz val="14"/>
        <color theme="1"/>
        <rFont val="Times New Roman"/>
        <family val="1"/>
      </rPr>
      <t xml:space="preserve">
- Quá trình sử dụng, thay đổi đất, nhà, vật kiến trúc xây dựng trên đất:</t>
    </r>
    <r>
      <rPr>
        <sz val="14"/>
        <color theme="1"/>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color theme="1"/>
        <rFont val="Times New Roman"/>
        <family val="1"/>
      </rPr>
      <t xml:space="preserve">* Tình hình tranh chấp đối với thửa đất: </t>
    </r>
    <r>
      <rPr>
        <sz val="14"/>
        <color theme="1"/>
        <rFont val="Times New Roman"/>
        <family val="1"/>
      </rPr>
      <t xml:space="preserve">
Hiện hộ ông Lê Anh Tuấn đang sử dụng ổn định phần diện tích 900,0m2từ sau năm 2020 cho đến nay, không lấn chiếm, không tranh chấp, không thuộc trường hợp đất 5%, đất công, đất khác do Nhà nước quản lý, không có đơn thư ngăn chặn, tài sản không bị phong toả để đảm bảo thi hành án.
</t>
    </r>
    <r>
      <rPr>
        <b/>
        <sz val="14"/>
        <color theme="1"/>
        <rFont val="Times New Roman"/>
        <family val="1"/>
      </rPr>
      <t>* Trường hợp diện tích đất thể hiện trên giấy tờ về quyền sử dụng đất có sự chênh lệch so với diện tích đất thực tế đang sử dụng:</t>
    </r>
    <r>
      <rPr>
        <sz val="14"/>
        <color theme="1"/>
        <rFont val="Times New Roman"/>
        <family val="1"/>
      </rPr>
      <t xml:space="preserve">
- Diện tích theo giấy tờ:m²
- Diện tích đất thực tế đang sử dụng: m²
- Diện tích đất chênh lệch tăng/giảm: 
</t>
    </r>
    <r>
      <rPr>
        <b/>
        <sz val="14"/>
        <color theme="1"/>
        <rFont val="Times New Roman"/>
        <family val="1"/>
      </rPr>
      <t>* Trường hợp địa chỉ thửa đất thực tế đang sử dụng khác với địa chỉ thể hiện trên giấy tờ:</t>
    </r>
    <r>
      <rPr>
        <sz val="14"/>
        <color theme="1"/>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color theme="1"/>
        <rFont val="Times New Roman"/>
        <family val="1"/>
      </rPr>
      <t>* Các loại giấy tờ, tài liệu, người làm chứng làm căn cứ xác nhận các nội dung trên:</t>
    </r>
    <r>
      <rPr>
        <sz val="14"/>
        <color theme="1"/>
        <rFont val="Times New Roman"/>
        <family val="1"/>
      </rPr>
      <t xml:space="preserve"> </t>
    </r>
    <r>
      <rPr>
        <i/>
        <sz val="14"/>
        <color theme="1"/>
        <rFont val="Times New Roman"/>
        <family val="1"/>
      </rPr>
      <t>(Giấy tờ kèm theo hồ sơ)</t>
    </r>
    <r>
      <rPr>
        <sz val="14"/>
        <color theme="1"/>
        <rFont val="Times New Roman"/>
        <family val="1"/>
      </rPr>
      <t xml:space="preserve">
- Hồ sơ địa chính xã năm 2002, 2015;
- Biên bản họp xác minh nguồn gốc nhà, đất ngày 13/8/2026;
- Biên bản kiểm kê khối lượng giải tỏa ngày 27/7/2026;
- Phiếu xác nhận kết quả đo đạc địa chính thửa đất số 262 tờ bản đồ số 10;
- Bản tự kê khai của ông Lê Anh Tuấn.
- Giấy bán đìa tôm của ông Nguyễn Thành bán cho ông Trần Văn Minh, giấy viết tay ký ngày 07/01/1999, không có xác nhận của cơ quan có thẩm quyền.
- Giấy bán đất của ông Trần Văn Minh bán cho ông Lê Anh Tuấn, giấy viết tay ký ngày 08/9/2020, không có xác nhận của cơ quan có thẩm quyền.
- CCCD số 056088005080 do Cục QLHC về TTXH cấp ngày 04/8/2022 cho ông Lê Anh Tuấn;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t>
    </r>
  </si>
  <si>
    <r>
      <rPr>
        <b/>
        <sz val="14"/>
        <color theme="1"/>
        <rFont val="Times New Roman"/>
        <family val="1"/>
      </rPr>
      <t>"* Giấy xác nhận về thửa đất bị thu hồi để phục vụ cho công tác bồi thường,  hỗ trợ,  tái định cư khi Nhà nước thu hồi đất số 10627/GXN-KTHTĐT ngày 19/8/2026 của Phòng Kinh tế, Hạ tầng và Đô thị phường Nam Nha Trang xác nhận:
 - Về thông tin nguồn gốc đất: 
* Thửa đất số 288 tờ bản đồ số 10 - 353599-1</t>
    </r>
    <r>
      <rPr>
        <sz val="14"/>
        <color theme="1"/>
        <rFont val="Times New Roman"/>
        <family val="1"/>
      </rPr>
      <t xml:space="preserve"> (theo Bản đồ địa chính phường Nam Nha Trang - Đo đạc bổ sung), Tổng diện tích: 300,4m², diện tích thu hồi: 300,4m², diện tích còn lại: 0m2 (tách ra từ thửa 114 thuộc Bản đồ địa chính phường Nam Nha Trang, đo đạc bổ sung tháng 4/2026 được Sở Nông nghiệp và Môi trường thẩm định ngày 05/5/2026) đối chiếu tương ứng các thửa đất:</t>
    </r>
    <r>
      <rPr>
        <b/>
        <sz val="14"/>
        <color theme="1"/>
        <rFont val="Times New Roman"/>
        <family val="1"/>
      </rPr>
      <t xml:space="preserve">
</t>
    </r>
    <r>
      <rPr>
        <i/>
        <sz val="14"/>
        <color theme="1"/>
        <rFont val="Times New Roman"/>
        <family val="1"/>
      </rPr>
      <t xml:space="preserve">+ Theo Sổ dã ngoại và Bản đồ địa chính xã Vĩnh Thái năm 1996: Thửa đất chưa được đo vẽ.
+ Đối chiếu bản đồ và sổ mục kê năm 2002: Thửa đất thu hồi tương ứng một phần thửa đất số 446 tờ bản đồ số 07, diện tích: 7.345m2, loại đất: Ao (hồ) sản, tên kê khai: đất LD thủy sản, ghi chú: </t>
    </r>
    <r>
      <rPr>
        <b/>
        <i/>
        <sz val="14"/>
        <color theme="1"/>
        <rFont val="Times New Roman"/>
        <family val="1"/>
      </rPr>
      <t>đất UBND xã, và một phần đường bờ đìa</t>
    </r>
    <r>
      <rPr>
        <i/>
        <sz val="14"/>
        <color theme="1"/>
        <rFont val="Times New Roman"/>
        <family val="1"/>
      </rPr>
      <t xml:space="preserve">.
+ Đối chiếu Bản đồ ĐC và sổ mục kê năm 2015: Thửa đất thu hồi tương ứng một phần thửa đất số 214, tờ bản đồ số 10, diện tích 6.417,6m2, loại đất: TSL do ông Lan đứng tên kê khai (nhưng ý kiến đại diện hộ dân - ông Trần Văn Minh cho rằng thực tế là đất của ông đang quản lý sử dụng, do đoàn đo đạc tại thời điểm đó ghi nhầm)
+ </t>
    </r>
    <r>
      <rPr>
        <b/>
        <i/>
        <sz val="14"/>
        <color theme="1"/>
        <rFont val="Times New Roman"/>
        <family val="1"/>
      </rPr>
      <t>Vị trí thửa đất thu hồi nằm trong Danh sách Kết luận thanh</t>
    </r>
    <r>
      <rPr>
        <i/>
        <sz val="14"/>
        <color theme="1"/>
        <rFont val="Times New Roman"/>
        <family val="1"/>
      </rPr>
      <t xml:space="preserve"> tra Theo Thông báo số 749/TB-UBND-TTra ngày 18/6/2025 của Chủ tịch UBND thành phố Nha Trang, đính kèm Kết luận thanh tra số 511/KL-TTra-KTXH ngày 13/6/2025 của Chánh Thanh tra thành phố Nha Trang, tại Phụ lục I – STT 951 ghi nhận: thửa đất số 446, tờ bản đồ số 07, diện tích 7.345m2 (loại đất Ao (Hồ)) thuộc Danh sách các loại đất khác do Nhà nước quản lý theo Sổ mục kê năm 2002, hiện trạng do người dân đang sử dụng.</t>
    </r>
    <r>
      <rPr>
        <sz val="14"/>
        <color theme="1"/>
        <rFont val="Times New Roman"/>
        <family val="1"/>
      </rPr>
      <t xml:space="preserve">
</t>
    </r>
    <r>
      <rPr>
        <b/>
        <sz val="14"/>
        <color theme="1"/>
        <rFont val="Times New Roman"/>
        <family val="1"/>
      </rPr>
      <t xml:space="preserve"> + Nguồn gốc đất:  
* Theo giấy tờ nguồn gốc đất do hộ gia đình cung cấp:
</t>
    </r>
    <r>
      <rPr>
        <sz val="14"/>
        <color theme="1"/>
        <rFont val="Times New Roman"/>
        <family val="1"/>
      </rPr>
      <t xml:space="preserve">Nguồn gốc đất do ông Nguyễn Thành chiếm trước năm 1999, ngày 07/01/1999, ông Nguyễn Thành và vợ là bà Nguyễn Thị Vân lập giấy bán đìa tôm cho ông Trần Văn Minh và vợ là bà Nguyễn Thị Long, giấy viết tay, không có xác nhận của cơ quan có thẩm quyền.
Ngày 18/8/2020, ông Trần Văn Minh lập giấy bán đất cho ông Lê Anh Tuấn diện tích 300m2, giấy viết tay, không có xác nhận của cơ quan có thẩm quyền.
</t>
    </r>
    <r>
      <rPr>
        <b/>
        <sz val="14"/>
        <color theme="1"/>
        <rFont val="Times New Roman"/>
        <family val="1"/>
      </rPr>
      <t>Diện tích kê khai sử dụng của hộ ông Lê Anh Tuấn là:</t>
    </r>
    <r>
      <rPr>
        <sz val="14"/>
        <color theme="1"/>
        <rFont val="Times New Roman"/>
        <family val="1"/>
      </rPr>
      <t xml:space="preserve">
- Tổng diện tích đất: 300,4m²
- Diện tích thu hồi: 300,4m2
- Diện tích còn lại: 0,0m2
- Loại đất: TSL(Theo hồ sơ địa chính năm 2002 + 2015) nhưng hộ dân đã tự sang lấp mặt bằng và sử dụng vào mục đích khác.
- Thời điểm sử dụng đất: năm 2020.
- Thời điểm hình thành tài sản, vật kiến trúc: không có.
- Thời điểm tạo lập cây trồng, vật nuôi: năm 2020 đến trước Thông báo thu hồi đất.
- Tổng diện tích đất nông nghiệp của hộ gia đình tại thửa đất bị thu hồi: 300,4m2
- Tổng diện tích đất nông nghiệp của hộ gia đình tại địa phương: 300,4m2</t>
    </r>
    <r>
      <rPr>
        <b/>
        <sz val="14"/>
        <color theme="1"/>
        <rFont val="Times New Roman"/>
        <family val="1"/>
      </rPr>
      <t xml:space="preserve">
- Hộ ông Lê Anh Tuấn không trực tiếp sản xuất nông nghiệp tại vị trí thửa đất thu hồi.
=&gt; Kết luận: 
</t>
    </r>
    <r>
      <rPr>
        <sz val="14"/>
        <color theme="1"/>
        <rFont val="Times New Roman"/>
        <family val="1"/>
      </rPr>
      <t>Nguồn gốc sử dụng đất</t>
    </r>
    <r>
      <rPr>
        <b/>
        <sz val="14"/>
        <color theme="1"/>
        <rFont val="Times New Roman"/>
        <family val="1"/>
      </rPr>
      <t xml:space="preserve"> Thửa đất số 288, tờ bản đồ số 10 - 353599-1</t>
    </r>
    <r>
      <rPr>
        <sz val="14"/>
        <color theme="1"/>
        <rFont val="Times New Roman"/>
        <family val="1"/>
      </rPr>
      <t xml:space="preserve"> (theo Bản đồ địa chính phường Nam Nha Trang - Đo đạc bổ sung), Tổng diện tích: 300,4m², diện tích thu hồi: 300,4m², diện tích còn lại: 0m2 thuộc Bản đồ địa chính phường Nam Nha Trang được Sở Nông nghiệp và Môi trường thẩm định ngày 05/5/2026,</t>
    </r>
    <r>
      <rPr>
        <b/>
        <sz val="14"/>
        <color theme="1"/>
        <rFont val="Times New Roman"/>
        <family val="1"/>
      </rPr>
      <t xml:space="preserve"> thuộc </t>
    </r>
    <r>
      <rPr>
        <sz val="14"/>
        <color theme="1"/>
        <rFont val="Times New Roman"/>
        <family val="1"/>
      </rPr>
      <t>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t>
    </r>
    <r>
      <rPr>
        <b/>
        <sz val="14"/>
        <color theme="1"/>
        <rFont val="Times New Roman"/>
        <family val="1"/>
      </rPr>
      <t xml:space="preserve">
- Quá trình sử dụng, thay đổi đất, nhà, vật kiến trúc xây dựng trên đất:</t>
    </r>
    <r>
      <rPr>
        <sz val="14"/>
        <color theme="1"/>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color theme="1"/>
        <rFont val="Times New Roman"/>
        <family val="1"/>
      </rPr>
      <t xml:space="preserve">* Tình hình tranh chấp đối với thửa đất: </t>
    </r>
    <r>
      <rPr>
        <sz val="14"/>
        <color theme="1"/>
        <rFont val="Times New Roman"/>
        <family val="1"/>
      </rPr>
      <t xml:space="preserve">
-Hiện hộ ông Lê Anh Tuấn đang sử dụng ổn định phần diện tích 300,4m2từ sau năm 2020 cho đến nay, không lấn chiếm, không tranh chấp, không thuộc trường hợp đất 5%, đất công, đất khác do Nhà nước quản lý, không có đơn thư ngăn chặn, tài sản không bị phong toả để đảm bảo thi hành án.
</t>
    </r>
    <r>
      <rPr>
        <b/>
        <sz val="14"/>
        <color theme="1"/>
        <rFont val="Times New Roman"/>
        <family val="1"/>
      </rPr>
      <t>* Trường hợp diện tích đất thể hiện trên giấy tờ về quyền sử dụng đất có sự chênh lệch so với diện tích đất thực tế đang sử dụng:</t>
    </r>
    <r>
      <rPr>
        <sz val="14"/>
        <color theme="1"/>
        <rFont val="Times New Roman"/>
        <family val="1"/>
      </rPr>
      <t xml:space="preserve">
- Diện tích theo giấy tờ:m²
- Diện tích đất thực tế đang sử dụng: m²
- Diện tích đất chênh lệch tăng/giảm: 
</t>
    </r>
    <r>
      <rPr>
        <b/>
        <sz val="14"/>
        <color theme="1"/>
        <rFont val="Times New Roman"/>
        <family val="1"/>
      </rPr>
      <t>* Trường hợp địa chỉ thửa đất thực tế đang sử dụng khác với địa chỉ thể hiện trên giấy tờ:</t>
    </r>
    <r>
      <rPr>
        <sz val="14"/>
        <color theme="1"/>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color theme="1"/>
        <rFont val="Times New Roman"/>
        <family val="1"/>
      </rPr>
      <t>* Các loại giấy tờ, tài liệu, người làm chứng làm căn cứ xác nhận các nội dung trên:</t>
    </r>
    <r>
      <rPr>
        <sz val="14"/>
        <color theme="1"/>
        <rFont val="Times New Roman"/>
        <family val="1"/>
      </rPr>
      <t xml:space="preserve"> </t>
    </r>
    <r>
      <rPr>
        <i/>
        <sz val="14"/>
        <color theme="1"/>
        <rFont val="Times New Roman"/>
        <family val="1"/>
      </rPr>
      <t>(Giấy tờ kèm theo hồ sơ)</t>
    </r>
    <r>
      <rPr>
        <sz val="14"/>
        <color theme="1"/>
        <rFont val="Times New Roman"/>
        <family val="1"/>
      </rPr>
      <t xml:space="preserve">
- Hồ sơ địa chính xã năm 2002, 2015;
- Biên bản họp xác minh nguồn gốc nhà, đất ngày 13/8/2026;
- Biên bản kiểm kê khối lượng giải tỏa ngày 27/7/2026;
- Phiếu xác nhận kết quả đo đạc địa chính thửa đất số 288 tờ bản đồ số 10;
- Bản tự kê khai của ông Lê Anh Tuấn.
- Giấy bán đìa tôm của ông Nguyễn Thành bán cho ông Trần Văn Minh, giấy viết tay ký ngày 07/01/1999, không có xác nhận của cơ quan có thẩm quyền.
- Giấy bán đất của ông Trần Văn Minh bán cho ông Lê Anh Tuấn, giấy viết tay ký ngày 18/8/2020, không có xác nhận của cơ quan có thẩm quyền.
- CCCD số 056088005080 do Cục QLHC về TTXH cấp ngày 04/8/2022 cho ông Lê Anh Tuấn;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t>
    </r>
  </si>
  <si>
    <r>
      <rPr>
        <b/>
        <sz val="14"/>
        <color theme="1"/>
        <rFont val="Times New Roman"/>
        <family val="1"/>
      </rPr>
      <t xml:space="preserve">"* Giấy xác nhận về thửa đất bị thu hồi để phục vụ cho công tác bồi thường,  hỗ trợ,  tái định cư khi Nhà nước thu hồi đất số 10628/GXN-KTHTĐT ngày 19/8/2026 của Phòng Kinh tế, Hạ tầng và Đô thị phường Nam Nha Trang xác nhận:
 - Về thông tin nguồn gốc đất: 
* Thửa đất số 290 tờ bản đồ số 10 - 353599-1 </t>
    </r>
    <r>
      <rPr>
        <sz val="14"/>
        <color theme="1"/>
        <rFont val="Times New Roman"/>
        <family val="1"/>
      </rPr>
      <t>(theo Bản đồ địa chính phường Nam Nha Trang - Đo đạc bổ sung), Tổng diện tích: 400m², diện tích thu hồi: 400m², diện tích còn lại: 0m2 (tách ra từ thửa 111 thuộc Bản đồ địa chính phường Nam Nha Trang, đo đạc bổ sung tháng 4/2026 được Sở Nông nghiệp và Môi trường thẩm định ngày 05/5/2026); đối chiếu tương ứng các thửa đất:</t>
    </r>
    <r>
      <rPr>
        <b/>
        <sz val="14"/>
        <color theme="1"/>
        <rFont val="Times New Roman"/>
        <family val="1"/>
      </rPr>
      <t xml:space="preserve">
</t>
    </r>
    <r>
      <rPr>
        <i/>
        <sz val="14"/>
        <color theme="1"/>
        <rFont val="Times New Roman"/>
        <family val="1"/>
      </rPr>
      <t>+ Theo Sổ dã ngoại và Bản đồ địa chính xã Vĩnh Thái năm 1996: Thửa đất chưa được đo vẽ.
+ Đối chiếu bản đồ và sổ mục kê năm 2002: Thửa đất thu hồi tương ứng một phần thửa đất số 446 tờ bản đồ số 07, diện tích: 7.345m2, loại đất: Ao (hồ) sản, tên kê khai: đất LD thủy sản, ghi chú:</t>
    </r>
    <r>
      <rPr>
        <b/>
        <i/>
        <sz val="14"/>
        <color theme="1"/>
        <rFont val="Times New Roman"/>
        <family val="1"/>
      </rPr>
      <t xml:space="preserve"> đất UBND xã.</t>
    </r>
    <r>
      <rPr>
        <i/>
        <sz val="14"/>
        <color theme="1"/>
        <rFont val="Times New Roman"/>
        <family val="1"/>
      </rPr>
      <t xml:space="preserve">
+ Đối chiếu Bản đồ ĐC và sổ mục kê năm 2015: Thửa đất thu hồi tương ứng một phần thửa đất số 214, tờ bản đồ số 10, diện tích 6.417,6m2, loại đất: TSL do ông Lan đứng tên kê khai (nhưng ý kiến đại diện hộ dân - ông Trần Văn Minh cho rằng thực tế là đất của ông đang quản lý sử dụng, do đoàn đo đạc tại thời điểm đó ghi nhầm)
+</t>
    </r>
    <r>
      <rPr>
        <b/>
        <i/>
        <sz val="14"/>
        <color theme="1"/>
        <rFont val="Times New Roman"/>
        <family val="1"/>
      </rPr>
      <t xml:space="preserve"> Vị trí thửa đất thu hồi nằm trong Danh sách Kết luận thanh tra </t>
    </r>
    <r>
      <rPr>
        <i/>
        <sz val="14"/>
        <color theme="1"/>
        <rFont val="Times New Roman"/>
        <family val="1"/>
      </rPr>
      <t>Theo Thông báo số 749/TB-UBND-TTra ngày 18/6/2025 của Chủ tịch UBND thành phố Nha Trang, đính kèm Kết luận thanh tra số 511/KL-TTra-KTXH ngày 13/6/2025 của Chánh Thanh tra thành phố Nha Trang, tại Phụ lục I – STT 951 ghi nhận: thửa đất số 446, tờ bản đồ số 07, diện tích 7.345m2 (loại đất Ao (Hồ)) thuộc Danh sách các loại đất khác do Nhà nước quản lý theo Sổ mục kê năm 2002, hiện trạng do người dân đang sử dụng.</t>
    </r>
    <r>
      <rPr>
        <sz val="14"/>
        <color theme="1"/>
        <rFont val="Times New Roman"/>
        <family val="1"/>
      </rPr>
      <t xml:space="preserve">
</t>
    </r>
    <r>
      <rPr>
        <b/>
        <sz val="14"/>
        <color theme="1"/>
        <rFont val="Times New Roman"/>
        <family val="1"/>
      </rPr>
      <t xml:space="preserve"> + Nguồn gốc đất:  
* Theo giấy tờ nguồn gốc đất do hộ gia đình cung cấp:</t>
    </r>
    <r>
      <rPr>
        <sz val="14"/>
        <color theme="1"/>
        <rFont val="Times New Roman"/>
        <family val="1"/>
      </rPr>
      <t xml:space="preserve">
Nguồn gốc đất do ông Nguyễn Thành chiếm trước năm 1999, ngày 07/01/1999, ông Nguyễn Thành và vợ là bà Nguyễn Thị Vân lập giấy bán đìa tôm cho ông Trần Văn Minh và vợ là bà Nguyễn Thị Long, giấy viết tay, không có xác nhận của cơ quan có thẩm quyền.
Ngày 08/9/2020, ông Trần Văn Minh lập giấy bán đất cho ông Lê Anh Tuấn diện tích 400m2, giấy viết tay, không có xác nhận của cơ quan có thẩm quyền.
</t>
    </r>
    <r>
      <rPr>
        <b/>
        <sz val="14"/>
        <color theme="1"/>
        <rFont val="Times New Roman"/>
        <family val="1"/>
      </rPr>
      <t>Diện tích kê khai sử dụng của hộ ông Lê Anh Tuấn là:</t>
    </r>
    <r>
      <rPr>
        <sz val="14"/>
        <color theme="1"/>
        <rFont val="Times New Roman"/>
        <family val="1"/>
      </rPr>
      <t xml:space="preserve">
- Tổng diện tích đất: 400m²
- Diện tích thu hồi: 400m2
- Diện tích còn lại: 0,0m2
- Loại đất: TSL(Theo hồ sơ địa chính năm 2002 + 2015) nhưng hộ dân đã tự sang lấp mặt bằng và sử dụng vào mục đích khác.
- Thời điểm sử dụng đất: năm 2020.
- Thời điểm hình thành tài sản, vật kiến trúc: không có.
- Thời điểm tạo lập cây trồng, vật nuôi: năm 2020 đến trước Thông báo thu hồi đất.
- Tổng diện tích đất nông nghiệp của hộ gia đình tại thửa đất bị thu hồi: 400m2
- Tổng diện tích đất nông nghiệp của hộ gia đình tại địa phương: 400m2
</t>
    </r>
    <r>
      <rPr>
        <b/>
        <sz val="14"/>
        <color theme="1"/>
        <rFont val="Times New Roman"/>
        <family val="1"/>
      </rPr>
      <t xml:space="preserve">- Hộ ông Lê Anh Tuấn không trực tiếp sản xuất nông nghiệp tại vị trí thửa đất thu hồi.
=&gt; Kết luận: 
</t>
    </r>
    <r>
      <rPr>
        <sz val="14"/>
        <color theme="1"/>
        <rFont val="Times New Roman"/>
        <family val="1"/>
      </rPr>
      <t xml:space="preserve">Nguồn gốc sử dụng đất </t>
    </r>
    <r>
      <rPr>
        <b/>
        <sz val="14"/>
        <color theme="1"/>
        <rFont val="Times New Roman"/>
        <family val="1"/>
      </rPr>
      <t xml:space="preserve">Thửa đất số 290, tờ bản đồ số 10 - 353599-1 </t>
    </r>
    <r>
      <rPr>
        <sz val="14"/>
        <color theme="1"/>
        <rFont val="Times New Roman"/>
        <family val="1"/>
      </rPr>
      <t xml:space="preserve">(theo Bản đồ địa chính phường Nam Nha Trang - Đo đạc bổ sung), Tổng diện tích: 400m², diện tích thu hồi: 400m², diện tích còn lại: 0m2 thuộc Bản đồ địa chính phường Nam Nha Trang được Sở Nông nghiệp và Môi trường thẩm định ngày 05/5/2026, </t>
    </r>
    <r>
      <rPr>
        <b/>
        <sz val="14"/>
        <color theme="1"/>
        <rFont val="Times New Roman"/>
        <family val="1"/>
      </rPr>
      <t xml:space="preserve">thuộc </t>
    </r>
    <r>
      <rPr>
        <sz val="14"/>
        <color theme="1"/>
        <rFont val="Times New Roman"/>
        <family val="1"/>
      </rPr>
      <t>trường hợp hộ gia đình, cá nhân đang sử dụng đất do lấn đất hoặc chiếm đất do cơ quan, tổ chức của Nhà nước đã quản lý, được thể hiện trong hồ sơ địa chính (căn cứ Sổ mục kê năm 2002 và Thông báo số 749/TB-UBND-TTra ngày 18/6/2025 của Chủ tịch UBND thành phố Nha Trang, đính kèm Kết luận thanh tra số 511/KL-TTra-KTXH ngày 13/6/2025 của Chánh Thanh tra thành phố Nha Trang, Phụ lục I)</t>
    </r>
    <r>
      <rPr>
        <b/>
        <sz val="14"/>
        <color theme="1"/>
        <rFont val="Times New Roman"/>
        <family val="1"/>
      </rPr>
      <t xml:space="preserve">
- Quá trình sử dụng, thay đổi đất, nhà, vật kiến trúc xây dựng trên đất:</t>
    </r>
    <r>
      <rPr>
        <sz val="14"/>
        <color theme="1"/>
        <rFont val="Times New Roman"/>
        <family val="1"/>
      </rPr>
      <t xml:space="preserve">
* Thay đổi về sử dụng đất: 
- Thay đổi về diện tích, ranh giới sử dụng đất: không.
- Thay đổi về mục đích sử dụng đất: không.
* Thay đổi về nhà, vật kiến trúc, tài sản trên đất: không.
* Thay đổi về địa chỉ thửa đất: không.
</t>
    </r>
    <r>
      <rPr>
        <b/>
        <sz val="14"/>
        <color theme="1"/>
        <rFont val="Times New Roman"/>
        <family val="1"/>
      </rPr>
      <t xml:space="preserve">* Tình hình tranh chấp đối với thửa đất: </t>
    </r>
    <r>
      <rPr>
        <sz val="14"/>
        <color theme="1"/>
        <rFont val="Times New Roman"/>
        <family val="1"/>
      </rPr>
      <t xml:space="preserve">
Hiện hộ ông Lê Anh Tuấn đang sử dụng ổn định phần diện tích 400,0m2từ sau năm 2020 cho đến nay, không lấn chiếm, không tranh chấp, không thuộc trường hợp đất 5%, đất công, đất khác do Nhà nước quản lý, không có đơn thư ngăn chặn, tài sản không bị phong toả để đảm bảo thi hành án.
</t>
    </r>
    <r>
      <rPr>
        <b/>
        <sz val="14"/>
        <color theme="1"/>
        <rFont val="Times New Roman"/>
        <family val="1"/>
      </rPr>
      <t>* Trường hợp diện tích đất thể hiện trên giấy tờ về quyền sử dụng đất có sự chênh lệch so với diện tích đất thực tế đang sử dụng:</t>
    </r>
    <r>
      <rPr>
        <sz val="14"/>
        <color theme="1"/>
        <rFont val="Times New Roman"/>
        <family val="1"/>
      </rPr>
      <t xml:space="preserve">
- Diện tích theo giấy tờ:m²
- Diện tích đất thực tế đang sử dụng: m²
- Diện tích đất chênh lệch tăng/giảm: 
</t>
    </r>
    <r>
      <rPr>
        <b/>
        <sz val="14"/>
        <color theme="1"/>
        <rFont val="Times New Roman"/>
        <family val="1"/>
      </rPr>
      <t>* Trường hợp địa chỉ thửa đất thực tế đang sử dụng khác với địa chỉ thể hiện trên giấy tờ:</t>
    </r>
    <r>
      <rPr>
        <sz val="14"/>
        <color theme="1"/>
        <rFont val="Times New Roman"/>
        <family val="1"/>
      </rPr>
      <t xml:space="preserve">
- Địa chỉ thửa đất theo giấy tờ: thôn Vĩnh Xuân, xã Vĩnh Thái, Nha Trang
- Địa chỉ đất giải tỏa: Tổ dân phố Vĩnh Xuân, phường Nam Nha Trang.
Hai địa chỉ là cùng một thửa đất.
</t>
    </r>
    <r>
      <rPr>
        <b/>
        <sz val="14"/>
        <color theme="1"/>
        <rFont val="Times New Roman"/>
        <family val="1"/>
      </rPr>
      <t>* Các loại giấy tờ, tài liệu, người làm chứng làm căn cứ xác nhận các nội dung trên:</t>
    </r>
    <r>
      <rPr>
        <sz val="14"/>
        <color theme="1"/>
        <rFont val="Times New Roman"/>
        <family val="1"/>
      </rPr>
      <t xml:space="preserve"> </t>
    </r>
    <r>
      <rPr>
        <i/>
        <sz val="14"/>
        <color theme="1"/>
        <rFont val="Times New Roman"/>
        <family val="1"/>
      </rPr>
      <t>(Giấy tờ kèm theo hồ sơ)</t>
    </r>
    <r>
      <rPr>
        <sz val="14"/>
        <color theme="1"/>
        <rFont val="Times New Roman"/>
        <family val="1"/>
      </rPr>
      <t xml:space="preserve">
- Hồ sơ địa chính xã năm 2002, 2015;
- Biên bản họp xác minh nguồn gốc nhà, đất ngày 13/8/2026;
- Biên bản kiểm kê khối lượng giải tỏa ngày 27/7/2026;
- Phiếu xác nhận kết quả đo đạc địa chính thửa đất số 290 tờ bản đồ số 10;
- Bản tự kê khai của ông Lê Anh Tuấn.
- Giấy bán đìa tôm của ông Nguyễn Thành bán cho ông Trần Văn Minh, giấy viết tay ký ngày 07/01/1999, không có xác nhận của cơ quan có thẩm quyền.
- Giấy bán đất của ông Trần Văn Minh bán cho ông Lê Anh Tuấn, giấy viết tay ký ngày 08/9/2020, không có xác nhận của cơ quan có thẩm quyền.
- CCCD số 056088005080 do Cục QLHC về TTXH cấp ngày 04/8/2022 cho ông Lê Anh Tuấn;
- 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
</t>
    </r>
  </si>
  <si>
    <t>I</t>
  </si>
  <si>
    <t>Các căn cứ pháp lý để lập phương án:</t>
  </si>
  <si>
    <t xml:space="preserve">1. </t>
  </si>
  <si>
    <t>Các văn bản liên quan đến chính sách bồi thường, hỗ trợ, tái định cư:</t>
  </si>
  <si>
    <t>-</t>
  </si>
  <si>
    <t xml:space="preserve"> Luật Đất đai số 31/2024/QH15 ngày 18/01/2024;</t>
  </si>
  <si>
    <t xml:space="preserve"> Căn cứ Luật số 43/2024/QH15 ngày 01/8/2024 của Quốc Hội sửa đổi, bổ sung một số điều của Luật Đất đai số 31/2024/QH15, Luật Nhà ở số 27/2023/QH15, Luật Kinh doanh bất động sản số 29/2023/QH15 và Luật Các tổ chức tín dụng số 32/2024/QH15; </t>
  </si>
  <si>
    <t>Nghị định số 102/2024/NĐ-CP ngày 30/7/2024 của Chính phủ về Quy định chi tiết thi hành một số điều của Luật Đất đai;</t>
  </si>
  <si>
    <t>Nghị định số 88/2024/NĐ-CP ngày 15/7/2024 của Chính Phủ Quy định về bồi thường, hỗ trợ, tái định cư khi Nhà nước thu hồi đất;</t>
  </si>
  <si>
    <t>Nghị định số 150/2025/NĐ-CP ngày 12/6/2025 của Chính phủ quy định tổ chức các cơ quan chuyên môn thuộc Ủy ban nhân dân tỉnh, thành phố trực thuộc trung ương và Ủy ban nhân dân xã, phường, đặc khu thuộc tỉnh, thành phố trực thuộc Trung ương;</t>
  </si>
  <si>
    <t>Nghị định số 151/2025/NĐ-CP ngày 12/6/2025 của Chính phủ Quy định về phân định thẩm quyền của chính quyền địa phương 02 cấp, phân quyền, phân cấp trong lĩnh vực đất đai;</t>
  </si>
  <si>
    <t>Nghị định số 226/2025/NĐ-CP ngày 15/8/2025 của Chính phủ về Sửa đổi, bổ sung một số điều của các nghị định quy định chi tiết thi hành Luật Đất đai;</t>
  </si>
  <si>
    <t>Nghị quyết số 254/2025/QH15 ngày 11/12/2025 của Quốc hội quy định một số cơ chế, chính sách tháo gỡ khó khăn, vướng mắc trong tổ chức thi hành Luật đất đai;</t>
  </si>
  <si>
    <t>Nghị định số 49/2026/NĐ-CP ngày 30/01/2026 của Chính phủ Quy định chi tiết và hướng dẫn một số điều của Nghị quyết số 254/2025/QH15 của Quốc hội quy định một số cơ chế, chính sách tháo gỡ khó khăn, vướng mắc trong tổchức thi hành Luật Đất đai;</t>
  </si>
  <si>
    <t>Nghị định số 50/2026/NĐ-CP ngày 30/01/2026 của Chính phủ Quy định chi tiết một số điều của Nghị quyết số 254/2025/QH15 ngày 11 tháng 12 năm 2025 của Quốc hội quy định một số cơ chế, chính sách tháo gỡ khó khăn,vướng mắc trong tổ chức thi hành Luật Đất đai về tiền sử dụng đất, tiền thuê đất;</t>
  </si>
  <si>
    <t>Nghị quyết số 15/2025/NQ-HĐND ngày 18/12/2025 của Hội đồng nhân dân tỉnh Khánh Hòa quy định về bảng giá đất lần đầu áp dụng từ ngày 01/01/2026 trên địa bàn tỉnh Khánh Hòa;</t>
  </si>
  <si>
    <t>Quyết định số 17/2024/QĐ-UBND ngày 29/8/2024 của UBND tỉnh Khánh Hòa về việc ban hành Quy định chi tiết một số nội dung về bồi thường, hỗ trợ và tái định cư khi Nhà nước thu hồi đất trên địa bàn tỉnh Khánh Hòa;</t>
  </si>
  <si>
    <t>Quyết định số 14/2025/QĐ-UBND ngày 07/8/2025 của UBND tỉnh Khánh Hòa sửa đổi, bổ sung Quyết định số 17/2024/QĐ-UBND ngày 29/8/2024 của UBND tỉnh Khánh Hòa về việc ban hành Quy định chi tiết một số nội dung về bồi thường, hỗ trợ và tái định cư khi Nhà nước thu hồi đất trên địa bàn tỉnh Khánh Hòa;</t>
  </si>
  <si>
    <t>Quyết định số 744/2025/QĐ-UBND ngày 18/8/2025 của UBND tỉnh Khánh Hòa Đính chính sai sót do lỗi về kỹ thuật trình bày tại Quyết định số 14/2025/QĐ-UBND ngày 07 tháng 8 năm 2025 sửa đổi, bổ sung Quyết định số 17/2024/QĐ-UBND ngày 29 tháng 8 năm 2024 của Ủy ban nhân dân tỉnh Khánh Hòa ban hành Quy định chi tiết một số nội dung về bồi thường, hỗ trợ, tái định cư khi Nhà nước thu hồi đất trên địa bàn tỉnh Khánh Hòa;</t>
  </si>
  <si>
    <t>Quyết định số 28/2026/QĐ-UBND ngày 13/4/2026 của UBND tỉnh Khánh Hòa về việc phân cấp thực hiện các nhiệm vụ quản lý Nhà nước về đất đai trên địa bàn tỉnh Khánh Hòa;</t>
  </si>
  <si>
    <t>Quyết định số 32/2026/QĐ-UBND ngày 26/4/2026 của UBND tỉnh Khánh Hòa về việc quy định một số nội dung, biện pháp hỗ trợ khác khi Nhà nước thu hồi đất trên địa bàn tỉnh Khánh Hòa;</t>
  </si>
  <si>
    <t>Quyết định số 35/2026/QĐ-UBND ngày 04/5/2026 của UBND tỉnh Khánh Hòa về việc ban hành đơn giá bồi thường, hỗ trợ thiệt hại đối với cây trồng, vật nuôi khi Nhà nước thu hồi đất trên địa bàn tỉnh Khánh Hòa.</t>
  </si>
  <si>
    <t>Văn bản số 9455/SNNMT-TTBVTV ngày 30/6/2026 của Sở Nông nghiệp và Môi trường V/v hướng dẫn áp dụng đơn giá bồi thường đối với cây trồng khi Nhà nước thu hồi đất theo QĐ số 35/2026/QĐ-UBND ngày 04/5/2026 của UBND tỉnh Khánh Hòa.</t>
  </si>
  <si>
    <t xml:space="preserve">2. </t>
  </si>
  <si>
    <t>Các văn bản liên quan đến dự án:</t>
  </si>
  <si>
    <t>Nghị quyết 09/NQ-HĐND ngày 23/9/2022 của HĐND tỉnh Ban hành danh mục dự án đầu tư công thực hiện thí điểm tách dự án bồi thường, hỗ trợ, tái định cư, giải phóng mặt bằng ra khỏi dự án đầu tư công trên địa bàn tỉnh Khánh Hòa;</t>
  </si>
  <si>
    <t>Nghị quyết số 29/NQ-HĐND ngày 28/3/2025 của Hội đồng nhân dân tỉnh Khánh Hòa V/v phê duyệt chủ trương đầu tư Xây dựng Bệnh viện đa khoa tỉnh Khánh Hòa trở thành Bệnh viện khu vực duyên hải Nam Trung Bộ;</t>
  </si>
  <si>
    <t>Quyết định số 470/QĐ-UBND ngày 06/02/2026 của UBND tỉnh Khánh Hòa V/v Phê duyệt Báo cáo nghiên cứu khả thi Dự án thành phần 1: Dự án thành phần giải phóng mặt bằng phục vụ Dự án Xây dựng Bệnh viện đa khoa tỉnh Khánh Hòa trở thành Bệnh viện khu vực Duyên hải Nam Trung Bộ;</t>
  </si>
  <si>
    <t>Quyết định số 246-QĐ/TU ngày 30/01/2026 của Tỉnh ủy Khánh Hòa V/v giao nhiệm vụ trọng tâm, nhiệm vụ đột phá năm 2026;</t>
  </si>
  <si>
    <t>Quyết định số 2129/QĐ-UBND ngày 15/5/2026 của UBND phường Nam Nha Trang Về việc phê duyệt Kế hoạch thu hồi đất, điều tra, khảo sát, đo đạc, kiểm đếm Dự án thành phần 1: Dự án thành phần giải phóng mặt bằng phục vụ Dự án Xây dựng Bệnh viện đa khoa tỉnh Khánh Hòa trở thành Bệnh viện khu vực Duyên hải Nam Trung Bộ;</t>
  </si>
  <si>
    <t>Thông báo số 2510/TB-UBND ngày 15/5/2026 của UBND phường Nam Nha Trang V/v thu hồi đất để thực hiện Dự án thành phần 1: Dự án thành phần giải phóng mặt bằng phục vụ Dự án Xây dựng Bệnh viện đa khoa tỉnh Khánh Hòa trở thành Bệnh viện khu vực Duyên hải Nam Trung Bộ;</t>
  </si>
  <si>
    <t>Công văn số 6223/SNNMT-CCQLĐĐ ngày 07/5/2026 của Sở Nông nghiệp và Môi trường về việc hướng dẫn việc xác định giá đất cụ thể để tính bồi thường khi Nhà nước thu hồi đất (trong thời gian chưa ban hành hệ số điều chỉnh giá đất)</t>
  </si>
  <si>
    <t>Thông báo số 3686 ngày 26/6/2026 của Hội đồng thẩm định giá đất cụ thể phường Nam Nha Trang V/v Kết quả thẩm định phương án giá đất cụ thể để tính bồi thường khi Nhà nước thu hồi đất để thực hiện Dự án thành phần 1: Dự án thành phần giải phóng mặt bằng phục vụ Dự án Xây dựng Bệnh viện đa khoa tỉnh Khánh Hòa trở thành Bệnh viện khu vực Duyên hải Nam Trung Bộ.</t>
  </si>
  <si>
    <t>Biên bản làm việc ngày 19/8/2026 về nội dung: xác minh tình trạng sinh sống ăn ở thực tế tại địa phương .</t>
  </si>
  <si>
    <t>Văn bản số 12281/KTHTĐT ngày 22/9/2026 của Phòng Kinh tế, hạ tầng và đô thị phường Nam Nha Trang về việc góp ý phương án dự kiến bồi thường hỗ trợ, tái định cư của 19 trường hợp/ 19 thửa thuộc Dự án thành phần 1: Dự án thành phần giải phóng mặt bằng phục vụ dự án xây dựng Bệnh viện Đa khoa tỉnh Khánh Hòa thành Bệnh viện khu vực duyên hải Nam Trung Bộ tại phường Nam Nha Trang, tỉnh Khánh Hòa</t>
  </si>
  <si>
    <t>Biên bản làm việc ngày 15/9/2026 về nội dung: xác minh tình trạng sinh sống ăn ở thực tế tại địa phương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</si>
</sst>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Red]0"/>
    <numFmt numFmtId="165" formatCode="#,##0;[Red]#,##0"/>
    <numFmt numFmtId="166" formatCode="#,##0.0"/>
    <numFmt numFmtId="167" formatCode="0.0;[Red]0.0"/>
    <numFmt numFmtId="168" formatCode="0.0"/>
    <numFmt numFmtId="169" formatCode="#,##0.00;[Red]#,##0.00"/>
    <numFmt numFmtId="170" formatCode="0.000"/>
  </numFmts>
  <fonts count="49" x14ac:knownFonts="1">
    <font>
      <sz val="11"/>
      <color theme="1"/>
      <name val="Calibri"/>
      <family val="2"/>
      <scheme val="minor"/>
    </font>
    <font>
      <sz val="11"/>
      <color theme="1"/>
      <name val="Calibri"/>
      <family val="2"/>
      <scheme val="minor"/>
    </font>
    <font>
      <sz val="12"/>
      <name val="Times New Roman"/>
      <family val="1"/>
    </font>
    <font>
      <b/>
      <sz val="14"/>
      <name val="Times New Roman"/>
      <family val="1"/>
    </font>
    <font>
      <sz val="14"/>
      <name val="Times New Roman"/>
      <family val="1"/>
    </font>
    <font>
      <sz val="11"/>
      <color theme="1"/>
      <name val="Calibri"/>
      <family val="2"/>
      <charset val="163"/>
      <scheme val="minor"/>
    </font>
    <font>
      <sz val="14"/>
      <name val="Calibri Light"/>
      <family val="1"/>
      <scheme val="major"/>
    </font>
    <font>
      <b/>
      <sz val="14"/>
      <name val="Times New Roman"/>
      <family val="1"/>
      <charset val="163"/>
    </font>
    <font>
      <sz val="10"/>
      <name val="Arial"/>
      <family val="2"/>
    </font>
    <font>
      <b/>
      <i/>
      <sz val="14"/>
      <name val="Times New Roman"/>
      <family val="1"/>
    </font>
    <font>
      <sz val="14"/>
      <color theme="1"/>
      <name val="Times New Roman"/>
      <family val="2"/>
    </font>
    <font>
      <i/>
      <sz val="14"/>
      <name val="Times New Roman"/>
      <family val="1"/>
    </font>
    <font>
      <sz val="12"/>
      <color theme="1"/>
      <name val="Times New Roman"/>
      <family val="2"/>
      <charset val="163"/>
    </font>
    <font>
      <sz val="13"/>
      <name val="Times New Roman"/>
      <family val="1"/>
    </font>
    <font>
      <b/>
      <sz val="13"/>
      <name val="Times New Roman"/>
      <family val="1"/>
    </font>
    <font>
      <sz val="10"/>
      <name val="Arial"/>
      <family val="2"/>
      <charset val="163"/>
    </font>
    <font>
      <b/>
      <sz val="14"/>
      <color theme="1"/>
      <name val="Times New Roman"/>
      <family val="1"/>
    </font>
    <font>
      <sz val="14"/>
      <color theme="1"/>
      <name val="Times New Roman"/>
      <family val="1"/>
    </font>
    <font>
      <sz val="11"/>
      <name val="Calibri"/>
      <family val="2"/>
      <scheme val="minor"/>
    </font>
    <font>
      <b/>
      <sz val="18"/>
      <color theme="1"/>
      <name val="Times New Roman"/>
      <family val="1"/>
    </font>
    <font>
      <sz val="18"/>
      <color theme="1"/>
      <name val="Calibri"/>
      <family val="2"/>
      <scheme val="minor"/>
    </font>
    <font>
      <b/>
      <sz val="22"/>
      <color theme="1"/>
      <name val="Times New Roman"/>
      <family val="1"/>
    </font>
    <font>
      <b/>
      <sz val="14"/>
      <color theme="1"/>
      <name val="Times New Roman"/>
      <family val="1"/>
      <charset val="163"/>
    </font>
    <font>
      <sz val="14"/>
      <color theme="1"/>
      <name val="Calibri"/>
      <family val="2"/>
      <charset val="163"/>
      <scheme val="minor"/>
    </font>
    <font>
      <sz val="12"/>
      <name val="VNI-Times"/>
    </font>
    <font>
      <b/>
      <sz val="14"/>
      <color rgb="FF1F1F1F"/>
      <name val="Times New Roman"/>
      <family val="1"/>
    </font>
    <font>
      <b/>
      <sz val="16"/>
      <color theme="1"/>
      <name val="Times New Roman"/>
      <family val="1"/>
    </font>
    <font>
      <sz val="11"/>
      <color theme="1"/>
      <name val="Times New Roman"/>
      <family val="1"/>
    </font>
    <font>
      <b/>
      <sz val="20"/>
      <color theme="1"/>
      <name val="Times New Roman"/>
      <family val="2"/>
      <charset val="163"/>
    </font>
    <font>
      <b/>
      <sz val="14"/>
      <color theme="1"/>
      <name val="Times New Roman"/>
      <family val="2"/>
      <charset val="163"/>
    </font>
    <font>
      <b/>
      <sz val="22"/>
      <color theme="1"/>
      <name val="Times New Roman"/>
      <family val="2"/>
      <charset val="163"/>
    </font>
    <font>
      <b/>
      <i/>
      <sz val="22"/>
      <color theme="1"/>
      <name val="Times New Roman"/>
      <family val="2"/>
      <charset val="163"/>
    </font>
    <font>
      <sz val="20"/>
      <color theme="1"/>
      <name val="Times New Roman"/>
      <family val="1"/>
    </font>
    <font>
      <sz val="22"/>
      <color theme="1"/>
      <name val="Calibri"/>
      <family val="2"/>
      <charset val="163"/>
      <scheme val="minor"/>
    </font>
    <font>
      <sz val="22"/>
      <color theme="1"/>
      <name val="Times New Roman"/>
      <family val="1"/>
    </font>
    <font>
      <sz val="20"/>
      <color theme="1"/>
      <name val="Calibri"/>
      <family val="2"/>
      <charset val="163"/>
      <scheme val="minor"/>
    </font>
    <font>
      <b/>
      <sz val="20"/>
      <color theme="1"/>
      <name val="Times New Roman"/>
      <family val="1"/>
    </font>
    <font>
      <i/>
      <sz val="13"/>
      <name val="Times New Roman"/>
      <family val="1"/>
    </font>
    <font>
      <sz val="13"/>
      <name val="Calibri"/>
      <family val="2"/>
      <charset val="163"/>
      <scheme val="minor"/>
    </font>
    <font>
      <b/>
      <sz val="14"/>
      <color theme="5" tint="-0.499984740745262"/>
      <name val="Times New Roman"/>
      <family val="1"/>
    </font>
    <font>
      <sz val="11"/>
      <color rgb="FFFF0000"/>
      <name val="Calibri"/>
      <family val="2"/>
      <scheme val="minor"/>
    </font>
    <font>
      <vertAlign val="superscript"/>
      <sz val="14"/>
      <name val="Times New Roman"/>
      <family val="1"/>
    </font>
    <font>
      <i/>
      <vertAlign val="superscript"/>
      <sz val="14"/>
      <name val="Times New Roman"/>
      <family val="1"/>
    </font>
    <font>
      <b/>
      <i/>
      <vertAlign val="superscript"/>
      <sz val="14"/>
      <name val="Times New Roman"/>
      <family val="1"/>
    </font>
    <font>
      <b/>
      <vertAlign val="superscript"/>
      <sz val="14"/>
      <name val="Times New Roman"/>
      <family val="1"/>
    </font>
    <font>
      <b/>
      <sz val="14"/>
      <color rgb="FFFF0000"/>
      <name val="Times New Roman"/>
      <family val="1"/>
    </font>
    <font>
      <sz val="14"/>
      <color rgb="FFFF0000"/>
      <name val="Times New Roman"/>
      <family val="1"/>
    </font>
    <font>
      <i/>
      <sz val="14"/>
      <color theme="1"/>
      <name val="Times New Roman"/>
      <family val="1"/>
    </font>
    <font>
      <b/>
      <i/>
      <sz val="14"/>
      <color theme="1"/>
      <name val="Times New Roman"/>
      <family val="1"/>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bottom style="thin">
        <color indexed="64"/>
      </bottom>
      <diagonal/>
    </border>
  </borders>
  <cellStyleXfs count="18">
    <xf numFmtId="0" fontId="0" fillId="0" borderId="0"/>
    <xf numFmtId="0" fontId="2" fillId="0" borderId="0"/>
    <xf numFmtId="0" fontId="5" fillId="0" borderId="0"/>
    <xf numFmtId="0" fontId="8" fillId="0" borderId="0"/>
    <xf numFmtId="0" fontId="2" fillId="0" borderId="0"/>
    <xf numFmtId="0" fontId="10" fillId="0" borderId="0"/>
    <xf numFmtId="43" fontId="2" fillId="0" borderId="0" applyFont="0" applyFill="0" applyBorder="0" applyAlignment="0" applyProtection="0"/>
    <xf numFmtId="9" fontId="2" fillId="0" borderId="0" applyFont="0" applyFill="0" applyBorder="0" applyAlignment="0" applyProtection="0"/>
    <xf numFmtId="0" fontId="12" fillId="0" borderId="0"/>
    <xf numFmtId="0" fontId="1" fillId="0" borderId="0"/>
    <xf numFmtId="0" fontId="1" fillId="0" borderId="0"/>
    <xf numFmtId="0" fontId="15" fillId="0" borderId="0"/>
    <xf numFmtId="0" fontId="1" fillId="0" borderId="0"/>
    <xf numFmtId="0" fontId="5" fillId="0" borderId="0"/>
    <xf numFmtId="0" fontId="24" fillId="0" borderId="0"/>
    <xf numFmtId="43" fontId="1" fillId="0" borderId="0" applyFont="0" applyFill="0" applyBorder="0" applyAlignment="0" applyProtection="0"/>
    <xf numFmtId="0" fontId="15" fillId="0" borderId="0"/>
    <xf numFmtId="0" fontId="1" fillId="0" borderId="0"/>
  </cellStyleXfs>
  <cellXfs count="504">
    <xf numFmtId="0" fontId="0" fillId="0" borderId="0" xfId="0"/>
    <xf numFmtId="0" fontId="3" fillId="0" borderId="0" xfId="1" applyFont="1" applyAlignment="1">
      <alignment vertical="center"/>
    </xf>
    <xf numFmtId="0" fontId="4" fillId="0" borderId="0" xfId="1" applyFont="1"/>
    <xf numFmtId="0" fontId="6" fillId="0" borderId="0" xfId="2" quotePrefix="1" applyFont="1" applyAlignment="1">
      <alignment horizontal="left" vertical="top" wrapText="1"/>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7" fillId="0" borderId="1" xfId="3" applyFont="1" applyBorder="1" applyAlignment="1">
      <alignment horizontal="center" vertical="center" wrapText="1"/>
    </xf>
    <xf numFmtId="4" fontId="7" fillId="0" borderId="1" xfId="3" applyNumberFormat="1" applyFont="1" applyBorder="1" applyAlignment="1">
      <alignment horizontal="center" vertical="center" wrapText="1"/>
    </xf>
    <xf numFmtId="3" fontId="3" fillId="0" borderId="1" xfId="3" applyNumberFormat="1" applyFont="1" applyBorder="1" applyAlignment="1">
      <alignment horizontal="center" vertical="center" wrapText="1"/>
    </xf>
    <xf numFmtId="9" fontId="3" fillId="0" borderId="1" xfId="3" applyNumberFormat="1" applyFont="1" applyBorder="1" applyAlignment="1">
      <alignment horizontal="center" vertical="center" wrapText="1"/>
    </xf>
    <xf numFmtId="0" fontId="3" fillId="2" borderId="1" xfId="1" applyFont="1" applyFill="1" applyBorder="1" applyAlignment="1">
      <alignment horizontal="center" vertical="center" wrapText="1"/>
    </xf>
    <xf numFmtId="164" fontId="7" fillId="2" borderId="1" xfId="1" applyNumberFormat="1" applyFont="1" applyFill="1" applyBorder="1" applyAlignment="1">
      <alignment horizontal="center" vertical="center"/>
    </xf>
    <xf numFmtId="164" fontId="7" fillId="0" borderId="1" xfId="1" applyNumberFormat="1" applyFont="1" applyBorder="1" applyAlignment="1">
      <alignment horizontal="center" vertical="center" wrapText="1"/>
    </xf>
    <xf numFmtId="164" fontId="7" fillId="0" borderId="1" xfId="3" applyNumberFormat="1" applyFont="1" applyBorder="1" applyAlignment="1">
      <alignment horizontal="center" vertical="center" wrapText="1"/>
    </xf>
    <xf numFmtId="164" fontId="7" fillId="0" borderId="1" xfId="1" applyNumberFormat="1" applyFont="1" applyBorder="1" applyAlignment="1">
      <alignment horizontal="center" vertical="center"/>
    </xf>
    <xf numFmtId="0" fontId="3" fillId="0" borderId="2" xfId="1" applyFont="1" applyBorder="1" applyAlignment="1">
      <alignment horizontal="center" vertical="center"/>
    </xf>
    <xf numFmtId="0" fontId="3" fillId="0" borderId="2" xfId="3" applyFont="1" applyBorder="1" applyAlignment="1">
      <alignment horizontal="center" vertical="center" wrapText="1"/>
    </xf>
    <xf numFmtId="0" fontId="4" fillId="0" borderId="2" xfId="1" applyFont="1" applyBorder="1"/>
    <xf numFmtId="0" fontId="4" fillId="0" borderId="3" xfId="1" applyFont="1" applyBorder="1"/>
    <xf numFmtId="0" fontId="3" fillId="0" borderId="4" xfId="3" applyFont="1" applyBorder="1" applyAlignment="1">
      <alignment horizontal="justify" vertical="center" wrapText="1"/>
    </xf>
    <xf numFmtId="0" fontId="4" fillId="0" borderId="4" xfId="1" applyFont="1" applyBorder="1" applyAlignment="1">
      <alignment horizontal="center" vertical="center"/>
    </xf>
    <xf numFmtId="0" fontId="4" fillId="0" borderId="3" xfId="1" applyFont="1" applyBorder="1" applyAlignment="1">
      <alignment wrapText="1"/>
    </xf>
    <xf numFmtId="0" fontId="4" fillId="0" borderId="3" xfId="1" applyFont="1" applyBorder="1" applyAlignment="1">
      <alignment horizontal="center" vertical="top" wrapText="1"/>
    </xf>
    <xf numFmtId="0" fontId="4" fillId="0" borderId="4" xfId="1" applyFont="1" applyBorder="1"/>
    <xf numFmtId="3" fontId="4" fillId="0" borderId="4" xfId="3" applyNumberFormat="1" applyFont="1" applyBorder="1" applyAlignment="1">
      <alignment vertical="center" wrapText="1"/>
    </xf>
    <xf numFmtId="9" fontId="4" fillId="0" borderId="4" xfId="7" applyFont="1" applyBorder="1" applyAlignment="1">
      <alignment horizontal="right" vertical="center" wrapText="1"/>
    </xf>
    <xf numFmtId="0" fontId="4" fillId="0" borderId="4" xfId="3" applyFont="1" applyBorder="1" applyAlignment="1">
      <alignment horizontal="center" vertical="center" wrapText="1"/>
    </xf>
    <xf numFmtId="4" fontId="4" fillId="0" borderId="4" xfId="6" applyNumberFormat="1" applyFont="1" applyBorder="1" applyAlignment="1">
      <alignment horizontal="right" vertical="center" wrapText="1"/>
    </xf>
    <xf numFmtId="3" fontId="4" fillId="0" borderId="4" xfId="3" applyNumberFormat="1" applyFont="1" applyBorder="1" applyAlignment="1">
      <alignment horizontal="right" vertical="center" wrapText="1"/>
    </xf>
    <xf numFmtId="3" fontId="3" fillId="0" borderId="4" xfId="10" applyNumberFormat="1" applyFont="1" applyBorder="1" applyAlignment="1">
      <alignment vertical="center"/>
    </xf>
    <xf numFmtId="0" fontId="3" fillId="0" borderId="4" xfId="11" applyFont="1" applyBorder="1" applyAlignment="1">
      <alignment horizontal="justify" vertical="center"/>
    </xf>
    <xf numFmtId="0" fontId="4" fillId="0" borderId="4" xfId="2" applyFont="1" applyBorder="1" applyAlignment="1">
      <alignment horizontal="center" vertical="center"/>
    </xf>
    <xf numFmtId="4" fontId="4" fillId="0" borderId="4" xfId="2" applyNumberFormat="1" applyFont="1" applyBorder="1" applyAlignment="1">
      <alignment horizontal="right" vertical="center"/>
    </xf>
    <xf numFmtId="3" fontId="3" fillId="0" borderId="4" xfId="2" applyNumberFormat="1" applyFont="1" applyBorder="1" applyAlignment="1">
      <alignment horizontal="right" vertical="center"/>
    </xf>
    <xf numFmtId="0" fontId="3" fillId="0" borderId="4" xfId="2" applyFont="1" applyBorder="1" applyAlignment="1">
      <alignment vertical="center" wrapText="1"/>
    </xf>
    <xf numFmtId="3" fontId="4" fillId="0" borderId="4" xfId="6" applyNumberFormat="1" applyFont="1" applyBorder="1" applyAlignment="1">
      <alignment horizontal="right" vertical="center" wrapText="1"/>
    </xf>
    <xf numFmtId="10" fontId="4" fillId="0" borderId="3" xfId="1" applyNumberFormat="1" applyFont="1" applyBorder="1"/>
    <xf numFmtId="0" fontId="11" fillId="0" borderId="4" xfId="5" applyFont="1" applyBorder="1" applyAlignment="1">
      <alignment horizontal="center" vertical="center" wrapText="1"/>
    </xf>
    <xf numFmtId="4" fontId="4" fillId="0" borderId="4" xfId="6" applyNumberFormat="1" applyFont="1" applyBorder="1" applyAlignment="1">
      <alignment horizontal="center" vertical="center" wrapText="1"/>
    </xf>
    <xf numFmtId="0" fontId="3" fillId="0" borderId="4" xfId="5" applyFont="1" applyBorder="1" applyAlignment="1">
      <alignment horizontal="justify" vertical="center"/>
    </xf>
    <xf numFmtId="0" fontId="4" fillId="0" borderId="4" xfId="5" applyFont="1" applyBorder="1" applyAlignment="1">
      <alignment horizontal="center" vertical="center"/>
    </xf>
    <xf numFmtId="4" fontId="4" fillId="0" borderId="4" xfId="5" applyNumberFormat="1" applyFont="1" applyBorder="1" applyAlignment="1">
      <alignment horizontal="right" vertical="center"/>
    </xf>
    <xf numFmtId="3" fontId="4" fillId="0" borderId="4" xfId="5" applyNumberFormat="1" applyFont="1" applyBorder="1" applyAlignment="1">
      <alignment horizontal="right" vertical="center"/>
    </xf>
    <xf numFmtId="9" fontId="4" fillId="0" borderId="4" xfId="5" applyNumberFormat="1" applyFont="1" applyBorder="1" applyAlignment="1">
      <alignment horizontal="right" vertical="center"/>
    </xf>
    <xf numFmtId="3" fontId="3" fillId="0" borderId="4" xfId="5" applyNumberFormat="1" applyFont="1" applyBorder="1" applyAlignment="1">
      <alignment horizontal="right" vertical="center"/>
    </xf>
    <xf numFmtId="4" fontId="11" fillId="0" borderId="4" xfId="6" applyNumberFormat="1" applyFont="1" applyBorder="1" applyAlignment="1">
      <alignment horizontal="center" vertical="center" wrapText="1"/>
    </xf>
    <xf numFmtId="0" fontId="11" fillId="0" borderId="4" xfId="3" applyFont="1" applyBorder="1" applyAlignment="1">
      <alignment horizontal="justify" vertical="center" wrapText="1"/>
    </xf>
    <xf numFmtId="0" fontId="4" fillId="0" borderId="4" xfId="5" applyFont="1" applyBorder="1" applyAlignment="1">
      <alignment horizontal="justify" vertical="center" wrapText="1"/>
    </xf>
    <xf numFmtId="2" fontId="4" fillId="0" borderId="3" xfId="1" applyNumberFormat="1" applyFont="1" applyBorder="1"/>
    <xf numFmtId="3" fontId="3" fillId="0" borderId="4" xfId="1" applyNumberFormat="1" applyFont="1" applyBorder="1"/>
    <xf numFmtId="4" fontId="13" fillId="0" borderId="3" xfId="3" applyNumberFormat="1" applyFont="1" applyBorder="1" applyAlignment="1">
      <alignment horizontal="center" vertical="top"/>
    </xf>
    <xf numFmtId="0" fontId="13" fillId="0" borderId="3" xfId="8" applyFont="1" applyBorder="1" applyAlignment="1">
      <alignment vertical="top"/>
    </xf>
    <xf numFmtId="0" fontId="14" fillId="0" borderId="3" xfId="8" quotePrefix="1" applyFont="1" applyBorder="1" applyAlignment="1">
      <alignment vertical="center" wrapText="1"/>
    </xf>
    <xf numFmtId="0" fontId="4" fillId="0" borderId="8" xfId="1" applyFont="1" applyBorder="1"/>
    <xf numFmtId="0" fontId="11" fillId="0" borderId="9" xfId="5" applyFont="1" applyBorder="1" applyAlignment="1">
      <alignment horizontal="justify" vertical="center" wrapText="1"/>
    </xf>
    <xf numFmtId="4" fontId="13" fillId="0" borderId="9" xfId="3" applyNumberFormat="1" applyFont="1" applyBorder="1" applyAlignment="1">
      <alignment horizontal="center" vertical="top"/>
    </xf>
    <xf numFmtId="0" fontId="14" fillId="0" borderId="8" xfId="8" quotePrefix="1" applyFont="1" applyBorder="1" applyAlignment="1">
      <alignment vertical="center" wrapText="1"/>
    </xf>
    <xf numFmtId="0" fontId="4" fillId="0" borderId="4" xfId="9" quotePrefix="1" applyFont="1" applyBorder="1" applyAlignment="1">
      <alignment horizontal="justify" vertical="center" wrapText="1"/>
    </xf>
    <xf numFmtId="0" fontId="16" fillId="0" borderId="0" xfId="0" applyFont="1" applyAlignment="1">
      <alignment vertical="top" wrapText="1"/>
    </xf>
    <xf numFmtId="3" fontId="4" fillId="0" borderId="13" xfId="2" applyNumberFormat="1" applyFont="1" applyBorder="1" applyAlignment="1">
      <alignment horizontal="right" vertical="center"/>
    </xf>
    <xf numFmtId="9" fontId="4" fillId="0" borderId="13" xfId="2" applyNumberFormat="1" applyFont="1" applyBorder="1" applyAlignment="1">
      <alignment horizontal="right" vertical="center"/>
    </xf>
    <xf numFmtId="3" fontId="3" fillId="0" borderId="13" xfId="2" applyNumberFormat="1" applyFont="1" applyBorder="1" applyAlignment="1">
      <alignment horizontal="right" vertical="center"/>
    </xf>
    <xf numFmtId="4" fontId="4" fillId="0" borderId="5" xfId="6" applyNumberFormat="1" applyFont="1" applyBorder="1" applyAlignment="1">
      <alignment horizontal="right" vertical="center" wrapText="1"/>
    </xf>
    <xf numFmtId="0" fontId="4" fillId="0" borderId="7" xfId="1" applyFont="1" applyBorder="1"/>
    <xf numFmtId="0" fontId="17" fillId="0" borderId="10" xfId="0" applyFont="1" applyBorder="1" applyAlignment="1">
      <alignment wrapText="1"/>
    </xf>
    <xf numFmtId="0" fontId="3" fillId="0" borderId="3" xfId="1" applyFont="1" applyBorder="1" applyAlignment="1">
      <alignment horizontal="center"/>
    </xf>
    <xf numFmtId="0" fontId="3" fillId="0" borderId="3" xfId="1" quotePrefix="1" applyFont="1" applyBorder="1" applyAlignment="1">
      <alignment horizontal="center" wrapText="1"/>
    </xf>
    <xf numFmtId="0" fontId="18" fillId="0" borderId="4" xfId="0" applyFont="1" applyBorder="1"/>
    <xf numFmtId="0" fontId="3" fillId="0" borderId="4" xfId="2" quotePrefix="1" applyFont="1" applyBorder="1" applyAlignment="1">
      <alignment vertical="center" wrapText="1"/>
    </xf>
    <xf numFmtId="0" fontId="4" fillId="0" borderId="5" xfId="9" quotePrefix="1" applyFont="1" applyBorder="1" applyAlignment="1">
      <alignment horizontal="left" vertical="center" wrapText="1"/>
    </xf>
    <xf numFmtId="0" fontId="4" fillId="0" borderId="6" xfId="9" quotePrefix="1" applyFont="1" applyBorder="1" applyAlignment="1">
      <alignment horizontal="right" vertical="center" wrapText="1"/>
    </xf>
    <xf numFmtId="9" fontId="4" fillId="0" borderId="4" xfId="9" quotePrefix="1" applyNumberFormat="1" applyFont="1" applyBorder="1" applyAlignment="1">
      <alignment vertical="center" wrapText="1"/>
    </xf>
    <xf numFmtId="0" fontId="4" fillId="0" borderId="5" xfId="9" quotePrefix="1" applyFont="1" applyBorder="1" applyAlignment="1">
      <alignment horizontal="left" vertical="center"/>
    </xf>
    <xf numFmtId="3" fontId="4" fillId="0" borderId="4" xfId="3" applyNumberFormat="1" applyFont="1" applyBorder="1" applyAlignment="1">
      <alignment horizontal="right" vertical="center"/>
    </xf>
    <xf numFmtId="3" fontId="3" fillId="0" borderId="4" xfId="6" applyNumberFormat="1" applyFont="1" applyBorder="1" applyAlignment="1">
      <alignment vertical="center" wrapText="1"/>
    </xf>
    <xf numFmtId="0" fontId="4" fillId="0" borderId="3" xfId="1" applyFont="1" applyBorder="1" applyAlignment="1">
      <alignment horizontal="center" vertical="center" wrapText="1"/>
    </xf>
    <xf numFmtId="0" fontId="4" fillId="0" borderId="4" xfId="12" applyFont="1" applyBorder="1" applyAlignment="1">
      <alignment horizontal="justify" vertical="center" wrapText="1"/>
    </xf>
    <xf numFmtId="166" fontId="4" fillId="0" borderId="4" xfId="1" applyNumberFormat="1" applyFont="1" applyBorder="1" applyAlignment="1">
      <alignment horizontal="right" vertical="center" wrapText="1"/>
    </xf>
    <xf numFmtId="164" fontId="3" fillId="0" borderId="2" xfId="1" applyNumberFormat="1" applyFont="1" applyBorder="1" applyAlignment="1">
      <alignment horizontal="left" vertical="center"/>
    </xf>
    <xf numFmtId="164" fontId="3" fillId="0" borderId="2" xfId="3" applyNumberFormat="1" applyFont="1" applyBorder="1" applyAlignment="1">
      <alignment horizontal="center" vertical="center" wrapText="1"/>
    </xf>
    <xf numFmtId="165" fontId="3" fillId="0" borderId="2" xfId="3" applyNumberFormat="1" applyFont="1" applyBorder="1" applyAlignment="1">
      <alignment horizontal="center" vertical="center" wrapText="1"/>
    </xf>
    <xf numFmtId="165" fontId="3" fillId="0" borderId="2" xfId="1" applyNumberFormat="1" applyFont="1" applyBorder="1" applyAlignment="1">
      <alignment horizontal="center" vertical="center" wrapText="1"/>
    </xf>
    <xf numFmtId="164" fontId="3" fillId="0" borderId="4" xfId="1" applyNumberFormat="1" applyFont="1" applyBorder="1" applyAlignment="1">
      <alignment horizontal="left" vertical="center"/>
    </xf>
    <xf numFmtId="164" fontId="3" fillId="0" borderId="4" xfId="3" applyNumberFormat="1" applyFont="1" applyBorder="1" applyAlignment="1">
      <alignment horizontal="center" vertical="center" wrapText="1"/>
    </xf>
    <xf numFmtId="167" fontId="3" fillId="0" borderId="4" xfId="3" applyNumberFormat="1" applyFont="1" applyBorder="1" applyAlignment="1">
      <alignment horizontal="center" vertical="center" wrapText="1"/>
    </xf>
    <xf numFmtId="165" fontId="3" fillId="0" borderId="4" xfId="3" applyNumberFormat="1" applyFont="1" applyBorder="1" applyAlignment="1">
      <alignment horizontal="center" vertical="center" wrapText="1"/>
    </xf>
    <xf numFmtId="164" fontId="3" fillId="0" borderId="4" xfId="1" applyNumberFormat="1" applyFont="1" applyBorder="1" applyAlignment="1">
      <alignment horizontal="center" vertical="center" wrapText="1"/>
    </xf>
    <xf numFmtId="0" fontId="3" fillId="0" borderId="4" xfId="1" applyFont="1" applyBorder="1" applyAlignment="1">
      <alignment horizontal="center" vertical="center"/>
    </xf>
    <xf numFmtId="167" fontId="3" fillId="2" borderId="4" xfId="3" applyNumberFormat="1" applyFont="1" applyFill="1" applyBorder="1" applyAlignment="1">
      <alignment horizontal="right" vertical="center" wrapText="1"/>
    </xf>
    <xf numFmtId="3" fontId="3" fillId="2" borderId="4" xfId="3" applyNumberFormat="1" applyFont="1" applyFill="1" applyBorder="1" applyAlignment="1">
      <alignment vertical="center" wrapText="1"/>
    </xf>
    <xf numFmtId="9" fontId="3" fillId="2" borderId="4" xfId="3" applyNumberFormat="1" applyFont="1" applyFill="1" applyBorder="1" applyAlignment="1">
      <alignment horizontal="right" vertical="center" wrapText="1"/>
    </xf>
    <xf numFmtId="0" fontId="4" fillId="2" borderId="4" xfId="1" applyFont="1" applyFill="1" applyBorder="1" applyAlignment="1">
      <alignment vertical="center"/>
    </xf>
    <xf numFmtId="0" fontId="4" fillId="0" borderId="4" xfId="3" quotePrefix="1" applyFont="1" applyBorder="1" applyAlignment="1">
      <alignment horizontal="justify" vertical="center" wrapText="1"/>
    </xf>
    <xf numFmtId="167" fontId="4" fillId="2" borderId="4" xfId="3" applyNumberFormat="1" applyFont="1" applyFill="1" applyBorder="1" applyAlignment="1">
      <alignment horizontal="right" vertical="center" wrapText="1"/>
    </xf>
    <xf numFmtId="4" fontId="3" fillId="2" borderId="4" xfId="3" applyNumberFormat="1" applyFont="1" applyFill="1" applyBorder="1" applyAlignment="1">
      <alignment vertical="center" wrapText="1"/>
    </xf>
    <xf numFmtId="0" fontId="4" fillId="0" borderId="4" xfId="3" applyFont="1" applyBorder="1" applyAlignment="1">
      <alignment horizontal="justify" vertical="center" wrapText="1"/>
    </xf>
    <xf numFmtId="0" fontId="3" fillId="0" borderId="4" xfId="3" quotePrefix="1" applyFont="1" applyBorder="1" applyAlignment="1">
      <alignment horizontal="justify" vertical="center" wrapText="1"/>
    </xf>
    <xf numFmtId="4" fontId="3" fillId="2" borderId="4" xfId="3" applyNumberFormat="1" applyFont="1" applyFill="1" applyBorder="1" applyAlignment="1">
      <alignment horizontal="right" vertical="center" wrapText="1"/>
    </xf>
    <xf numFmtId="3" fontId="3" fillId="0" borderId="4" xfId="3" applyNumberFormat="1" applyFont="1" applyBorder="1" applyAlignment="1">
      <alignment vertical="center" wrapText="1"/>
    </xf>
    <xf numFmtId="0" fontId="18" fillId="0" borderId="0" xfId="0" applyFont="1"/>
    <xf numFmtId="0" fontId="4" fillId="0" borderId="4" xfId="3" quotePrefix="1" applyFont="1" applyBorder="1" applyAlignment="1">
      <alignment horizontal="left" vertical="center" wrapText="1"/>
    </xf>
    <xf numFmtId="0" fontId="4" fillId="0" borderId="4" xfId="3" applyFont="1" applyBorder="1" applyAlignment="1">
      <alignment horizontal="right" vertical="center" wrapText="1"/>
    </xf>
    <xf numFmtId="3" fontId="4" fillId="0" borderId="4" xfId="1" applyNumberFormat="1" applyFont="1" applyBorder="1" applyAlignment="1">
      <alignment horizontal="right" vertical="center"/>
    </xf>
    <xf numFmtId="0" fontId="3" fillId="0" borderId="4" xfId="3" applyFont="1" applyBorder="1" applyAlignment="1">
      <alignment horizontal="center" vertical="center" wrapText="1"/>
    </xf>
    <xf numFmtId="9" fontId="4" fillId="0" borderId="4" xfId="7" applyFont="1" applyBorder="1" applyAlignment="1">
      <alignment horizontal="center" vertical="center" wrapText="1"/>
    </xf>
    <xf numFmtId="0" fontId="11" fillId="0" borderId="4" xfId="3" quotePrefix="1" applyFont="1" applyBorder="1" applyAlignment="1">
      <alignment horizontal="justify" vertical="top" wrapText="1"/>
    </xf>
    <xf numFmtId="0" fontId="3" fillId="0" borderId="4" xfId="3" applyFont="1" applyBorder="1" applyAlignment="1">
      <alignment horizontal="right" vertical="center" wrapText="1"/>
    </xf>
    <xf numFmtId="0" fontId="3" fillId="0" borderId="4" xfId="3" applyFont="1" applyBorder="1" applyAlignment="1">
      <alignment horizontal="left" vertical="center" wrapText="1"/>
    </xf>
    <xf numFmtId="0" fontId="4" fillId="0" borderId="4" xfId="3" quotePrefix="1" applyFont="1" applyBorder="1" applyAlignment="1">
      <alignment horizontal="justify" vertical="top" wrapText="1"/>
    </xf>
    <xf numFmtId="2" fontId="4" fillId="0" borderId="4" xfId="3" applyNumberFormat="1" applyFont="1" applyBorder="1" applyAlignment="1">
      <alignment horizontal="right" vertical="center" wrapText="1"/>
    </xf>
    <xf numFmtId="0" fontId="11" fillId="0" borderId="4" xfId="3" quotePrefix="1" applyFont="1" applyBorder="1" applyAlignment="1">
      <alignment horizontal="justify" vertical="center" wrapText="1"/>
    </xf>
    <xf numFmtId="168" fontId="4" fillId="0" borderId="4" xfId="3" applyNumberFormat="1" applyFont="1" applyBorder="1" applyAlignment="1">
      <alignment horizontal="right" vertical="center" wrapText="1"/>
    </xf>
    <xf numFmtId="0" fontId="4" fillId="0" borderId="3" xfId="1" applyFont="1" applyBorder="1" applyAlignment="1">
      <alignment horizontal="center" vertical="center" wrapText="1"/>
    </xf>
    <xf numFmtId="3" fontId="4" fillId="0" borderId="4" xfId="1" applyNumberFormat="1" applyFont="1" applyBorder="1" applyAlignment="1">
      <alignment vertical="center" wrapText="1"/>
    </xf>
    <xf numFmtId="3" fontId="11" fillId="0" borderId="4" xfId="1" applyNumberFormat="1" applyFont="1" applyBorder="1" applyAlignment="1">
      <alignment vertical="center" wrapText="1"/>
    </xf>
    <xf numFmtId="3" fontId="4" fillId="0" borderId="5" xfId="6" applyNumberFormat="1" applyFont="1" applyBorder="1" applyAlignment="1">
      <alignment horizontal="right" vertical="center" wrapText="1"/>
    </xf>
    <xf numFmtId="0" fontId="11" fillId="0" borderId="4" xfId="9" quotePrefix="1" applyFont="1" applyBorder="1" applyAlignment="1">
      <alignment horizontal="left" vertical="center" wrapText="1"/>
    </xf>
    <xf numFmtId="0" fontId="4" fillId="0" borderId="4" xfId="9" quotePrefix="1" applyFont="1" applyBorder="1" applyAlignment="1">
      <alignment horizontal="left" vertical="center" wrapText="1"/>
    </xf>
    <xf numFmtId="0" fontId="17" fillId="0" borderId="0" xfId="13" applyFont="1"/>
    <xf numFmtId="0" fontId="5" fillId="0" borderId="0" xfId="13"/>
    <xf numFmtId="0" fontId="5" fillId="0" borderId="0" xfId="2"/>
    <xf numFmtId="0" fontId="22" fillId="0" borderId="15" xfId="2" applyFont="1" applyBorder="1" applyAlignment="1">
      <alignment horizontal="center" vertical="center" wrapText="1"/>
    </xf>
    <xf numFmtId="0" fontId="22" fillId="0" borderId="1" xfId="2" applyFont="1" applyBorder="1" applyAlignment="1">
      <alignment horizontal="center" vertical="center" wrapText="1"/>
    </xf>
    <xf numFmtId="0" fontId="9" fillId="0" borderId="1" xfId="2" applyFont="1" applyBorder="1" applyAlignment="1">
      <alignment horizontal="center" vertical="center"/>
    </xf>
    <xf numFmtId="0" fontId="9" fillId="0" borderId="1" xfId="2" applyFont="1" applyBorder="1" applyAlignment="1">
      <alignment horizontal="center" vertical="center" wrapText="1"/>
    </xf>
    <xf numFmtId="1" fontId="3" fillId="0" borderId="1" xfId="14" quotePrefix="1" applyNumberFormat="1" applyFont="1" applyBorder="1" applyAlignment="1">
      <alignment horizontal="center" vertical="top"/>
    </xf>
    <xf numFmtId="0" fontId="25" fillId="0" borderId="1" xfId="2" quotePrefix="1" applyFont="1" applyBorder="1" applyAlignment="1">
      <alignment horizontal="left" vertical="top" wrapText="1"/>
    </xf>
    <xf numFmtId="3" fontId="16" fillId="0" borderId="1" xfId="2" applyNumberFormat="1" applyFont="1" applyBorder="1" applyAlignment="1">
      <alignment horizontal="justify" vertical="top" wrapText="1"/>
    </xf>
    <xf numFmtId="3" fontId="16" fillId="0" borderId="1" xfId="2" quotePrefix="1" applyNumberFormat="1" applyFont="1" applyBorder="1" applyAlignment="1">
      <alignment horizontal="center" vertical="center" wrapText="1"/>
    </xf>
    <xf numFmtId="4" fontId="26" fillId="0" borderId="1" xfId="2" applyNumberFormat="1" applyFont="1" applyBorder="1" applyAlignment="1">
      <alignment vertical="center"/>
    </xf>
    <xf numFmtId="3" fontId="26" fillId="0" borderId="1" xfId="2" applyNumberFormat="1" applyFont="1" applyBorder="1" applyAlignment="1">
      <alignment vertical="center"/>
    </xf>
    <xf numFmtId="3" fontId="16" fillId="0" borderId="1" xfId="2" applyNumberFormat="1" applyFont="1" applyBorder="1" applyAlignment="1">
      <alignment horizontal="center" vertical="center"/>
    </xf>
    <xf numFmtId="3" fontId="16" fillId="0" borderId="1" xfId="2" applyNumberFormat="1" applyFont="1" applyBorder="1" applyAlignment="1">
      <alignment vertical="center"/>
    </xf>
    <xf numFmtId="3" fontId="16" fillId="0" borderId="1" xfId="2" applyNumberFormat="1" applyFont="1" applyBorder="1" applyAlignment="1">
      <alignment horizontal="center" vertical="center" wrapText="1"/>
    </xf>
    <xf numFmtId="0" fontId="5" fillId="0" borderId="0" xfId="2" applyAlignment="1">
      <alignment wrapText="1"/>
    </xf>
    <xf numFmtId="0" fontId="25" fillId="0" borderId="1" xfId="2" applyFont="1" applyBorder="1" applyAlignment="1">
      <alignment horizontal="left" vertical="top" wrapText="1"/>
    </xf>
    <xf numFmtId="4" fontId="26" fillId="0" borderId="1" xfId="2" applyNumberFormat="1" applyFont="1" applyBorder="1" applyAlignment="1">
      <alignment horizontal="right" vertical="center"/>
    </xf>
    <xf numFmtId="0" fontId="16" fillId="0" borderId="1" xfId="2" applyFont="1" applyBorder="1" applyAlignment="1">
      <alignment vertical="center"/>
    </xf>
    <xf numFmtId="0" fontId="16" fillId="0" borderId="1" xfId="2" applyFont="1" applyBorder="1" applyAlignment="1">
      <alignment horizontal="center" vertical="center"/>
    </xf>
    <xf numFmtId="169" fontId="16" fillId="0" borderId="1" xfId="2" applyNumberFormat="1" applyFont="1" applyBorder="1" applyAlignment="1">
      <alignment vertical="center"/>
    </xf>
    <xf numFmtId="165" fontId="16" fillId="0" borderId="1" xfId="2" applyNumberFormat="1" applyFont="1" applyBorder="1" applyAlignment="1">
      <alignment vertical="center"/>
    </xf>
    <xf numFmtId="165" fontId="16" fillId="0" borderId="1" xfId="2" applyNumberFormat="1" applyFont="1" applyBorder="1" applyAlignment="1">
      <alignment horizontal="center" vertical="center"/>
    </xf>
    <xf numFmtId="0" fontId="27" fillId="0" borderId="0" xfId="2" applyFont="1" applyAlignment="1">
      <alignment vertical="center"/>
    </xf>
    <xf numFmtId="0" fontId="28" fillId="0" borderId="0" xfId="2" applyFont="1" applyAlignment="1">
      <alignment horizontal="left" vertical="center"/>
    </xf>
    <xf numFmtId="165" fontId="29" fillId="0" borderId="0" xfId="2" applyNumberFormat="1" applyFont="1" applyAlignment="1">
      <alignment horizontal="right" vertical="center"/>
    </xf>
    <xf numFmtId="165" fontId="28" fillId="0" borderId="0" xfId="2" applyNumberFormat="1" applyFont="1" applyAlignment="1">
      <alignment horizontal="right" vertical="center"/>
    </xf>
    <xf numFmtId="0" fontId="30" fillId="0" borderId="0" xfId="2" applyFont="1" applyAlignment="1">
      <alignment horizontal="left" vertical="center"/>
    </xf>
    <xf numFmtId="0" fontId="31" fillId="0" borderId="0" xfId="13" applyFont="1" applyAlignment="1">
      <alignment horizontal="left" vertical="center"/>
    </xf>
    <xf numFmtId="0" fontId="30" fillId="0" borderId="0" xfId="2" applyFont="1" applyAlignment="1">
      <alignment horizontal="right" vertical="center"/>
    </xf>
    <xf numFmtId="0" fontId="32" fillId="0" borderId="0" xfId="2" applyFont="1"/>
    <xf numFmtId="0" fontId="33" fillId="0" borderId="0" xfId="2" applyFont="1" applyAlignment="1">
      <alignment vertical="center"/>
    </xf>
    <xf numFmtId="0" fontId="34" fillId="0" borderId="0" xfId="2" applyFont="1" applyAlignment="1">
      <alignment vertical="center"/>
    </xf>
    <xf numFmtId="0" fontId="21" fillId="0" borderId="0" xfId="2" applyFont="1" applyAlignment="1">
      <alignment vertical="center"/>
    </xf>
    <xf numFmtId="0" fontId="35" fillId="0" borderId="0" xfId="2" applyFont="1" applyAlignment="1">
      <alignment vertical="center"/>
    </xf>
    <xf numFmtId="0" fontId="32" fillId="0" borderId="0" xfId="2" applyFont="1" applyAlignment="1">
      <alignment vertical="center"/>
    </xf>
    <xf numFmtId="0" fontId="35" fillId="0" borderId="0" xfId="2" applyFont="1"/>
    <xf numFmtId="9" fontId="5" fillId="0" borderId="0" xfId="2" applyNumberFormat="1"/>
    <xf numFmtId="165" fontId="5" fillId="0" borderId="0" xfId="2" applyNumberFormat="1"/>
    <xf numFmtId="3" fontId="3" fillId="0" borderId="7" xfId="10" applyNumberFormat="1" applyFont="1" applyBorder="1" applyAlignment="1">
      <alignment vertical="center"/>
    </xf>
    <xf numFmtId="0" fontId="3" fillId="0" borderId="17" xfId="3" applyFont="1" applyBorder="1" applyAlignment="1">
      <alignment horizontal="center" vertical="center" wrapText="1"/>
    </xf>
    <xf numFmtId="165" fontId="3" fillId="0" borderId="4" xfId="3" applyNumberFormat="1" applyFont="1" applyBorder="1" applyAlignment="1">
      <alignment horizontal="right" vertical="center" wrapText="1"/>
    </xf>
    <xf numFmtId="166" fontId="3" fillId="2" borderId="4" xfId="3" applyNumberFormat="1" applyFont="1" applyFill="1" applyBorder="1" applyAlignment="1">
      <alignment horizontal="center" vertical="center" wrapText="1"/>
    </xf>
    <xf numFmtId="166" fontId="4" fillId="2" borderId="4" xfId="3" applyNumberFormat="1" applyFont="1" applyFill="1" applyBorder="1" applyAlignment="1">
      <alignment horizontal="center" vertical="center" wrapText="1"/>
    </xf>
    <xf numFmtId="166" fontId="3" fillId="2" borderId="4" xfId="3" applyNumberFormat="1" applyFont="1" applyFill="1" applyBorder="1" applyAlignment="1">
      <alignment horizontal="right" vertical="center" wrapText="1"/>
    </xf>
    <xf numFmtId="0" fontId="3" fillId="0" borderId="3" xfId="1" applyFont="1" applyBorder="1" applyAlignment="1">
      <alignment horizontal="center" vertical="top" wrapText="1"/>
    </xf>
    <xf numFmtId="0" fontId="3" fillId="0" borderId="3" xfId="2" quotePrefix="1" applyFont="1" applyBorder="1" applyAlignment="1">
      <alignment horizontal="center" vertical="top" wrapText="1"/>
    </xf>
    <xf numFmtId="0" fontId="3" fillId="0" borderId="3" xfId="1" quotePrefix="1" applyFont="1" applyBorder="1" applyAlignment="1">
      <alignment horizontal="center" vertical="top" wrapText="1"/>
    </xf>
    <xf numFmtId="0" fontId="18" fillId="0" borderId="0" xfId="0" applyFont="1" applyBorder="1"/>
    <xf numFmtId="0" fontId="4" fillId="0" borderId="4" xfId="8" quotePrefix="1" applyFont="1" applyFill="1" applyBorder="1" applyAlignment="1">
      <alignment horizontal="left" vertical="top" wrapText="1"/>
    </xf>
    <xf numFmtId="0" fontId="4" fillId="0" borderId="4" xfId="3" applyFont="1" applyFill="1" applyBorder="1" applyAlignment="1">
      <alignment horizontal="right" vertical="center" wrapText="1"/>
    </xf>
    <xf numFmtId="3" fontId="4" fillId="0" borderId="4" xfId="3" applyNumberFormat="1" applyFont="1" applyFill="1" applyBorder="1" applyAlignment="1">
      <alignment horizontal="right" vertical="center" wrapText="1"/>
    </xf>
    <xf numFmtId="0" fontId="3" fillId="0" borderId="4" xfId="3" applyFont="1" applyFill="1" applyBorder="1" applyAlignment="1">
      <alignment horizontal="center" vertical="center" wrapText="1"/>
    </xf>
    <xf numFmtId="9" fontId="4" fillId="0" borderId="4" xfId="7" applyFont="1" applyFill="1" applyBorder="1" applyAlignment="1">
      <alignment horizontal="center" vertical="center" wrapText="1"/>
    </xf>
    <xf numFmtId="3" fontId="4" fillId="0" borderId="4" xfId="3" applyNumberFormat="1" applyFont="1" applyFill="1" applyBorder="1" applyAlignment="1">
      <alignment vertical="center" wrapText="1"/>
    </xf>
    <xf numFmtId="0" fontId="4" fillId="0" borderId="4" xfId="1" applyFont="1" applyFill="1" applyBorder="1"/>
    <xf numFmtId="0" fontId="3" fillId="0" borderId="4" xfId="3" applyFont="1" applyFill="1" applyBorder="1" applyAlignment="1">
      <alignment horizontal="left" vertical="center" wrapText="1"/>
    </xf>
    <xf numFmtId="0" fontId="4" fillId="0" borderId="4" xfId="8" quotePrefix="1" applyFont="1" applyBorder="1" applyAlignment="1">
      <alignment horizontal="left" vertical="top" wrapText="1"/>
    </xf>
    <xf numFmtId="0" fontId="4" fillId="0" borderId="4" xfId="3" applyFont="1" applyFill="1" applyBorder="1" applyAlignment="1">
      <alignment horizontal="center" vertical="center" wrapText="1"/>
    </xf>
    <xf numFmtId="166" fontId="4" fillId="0" borderId="4" xfId="3" applyNumberFormat="1" applyFont="1" applyFill="1" applyBorder="1" applyAlignment="1">
      <alignment horizontal="right" vertical="center" wrapText="1"/>
    </xf>
    <xf numFmtId="0" fontId="3" fillId="0" borderId="4" xfId="3" applyFont="1" applyFill="1" applyBorder="1" applyAlignment="1">
      <alignment horizontal="justify" vertical="center" wrapText="1"/>
    </xf>
    <xf numFmtId="3" fontId="3" fillId="0" borderId="4" xfId="3" applyNumberFormat="1" applyFont="1" applyFill="1" applyBorder="1" applyAlignment="1">
      <alignment vertical="center" wrapText="1"/>
    </xf>
    <xf numFmtId="0" fontId="4" fillId="0" borderId="3" xfId="1" applyFont="1" applyFill="1" applyBorder="1"/>
    <xf numFmtId="0" fontId="4" fillId="0" borderId="0" xfId="0" applyFont="1" applyAlignment="1">
      <alignment horizontal="left" vertical="center"/>
    </xf>
    <xf numFmtId="3" fontId="4" fillId="0" borderId="20" xfId="3" applyNumberFormat="1" applyFont="1" applyBorder="1" applyAlignment="1">
      <alignment vertical="center" wrapText="1"/>
    </xf>
    <xf numFmtId="9" fontId="4" fillId="0" borderId="20" xfId="7" applyFont="1" applyBorder="1" applyAlignment="1">
      <alignment horizontal="right" vertical="center" wrapText="1"/>
    </xf>
    <xf numFmtId="0" fontId="18" fillId="0" borderId="7" xfId="0" applyFont="1" applyBorder="1"/>
    <xf numFmtId="3" fontId="37" fillId="0" borderId="4" xfId="5" applyNumberFormat="1" applyFont="1" applyBorder="1" applyAlignment="1">
      <alignment horizontal="center" vertical="center" wrapText="1"/>
    </xf>
    <xf numFmtId="0" fontId="38" fillId="0" borderId="4" xfId="5" applyFont="1" applyBorder="1" applyAlignment="1">
      <alignment horizontal="center" vertical="center" wrapText="1"/>
    </xf>
    <xf numFmtId="3" fontId="4" fillId="0" borderId="4" xfId="2" applyNumberFormat="1" applyFont="1" applyBorder="1" applyAlignment="1">
      <alignment horizontal="right" vertical="center"/>
    </xf>
    <xf numFmtId="9" fontId="4" fillId="0" borderId="4" xfId="2" applyNumberFormat="1" applyFont="1" applyBorder="1" applyAlignment="1">
      <alignment horizontal="right" vertical="center"/>
    </xf>
    <xf numFmtId="0" fontId="14" fillId="0" borderId="13" xfId="8" quotePrefix="1" applyFont="1" applyBorder="1" applyAlignment="1">
      <alignment vertical="center" wrapText="1"/>
    </xf>
    <xf numFmtId="0" fontId="3" fillId="0" borderId="0" xfId="0" applyFont="1" applyAlignment="1">
      <alignment vertical="top" wrapText="1"/>
    </xf>
    <xf numFmtId="0" fontId="4" fillId="0" borderId="3" xfId="1" applyFont="1" applyBorder="1" applyAlignment="1">
      <alignment horizontal="center" vertical="center" wrapText="1"/>
    </xf>
    <xf numFmtId="0" fontId="4" fillId="0" borderId="3" xfId="1" applyFont="1" applyBorder="1" applyAlignment="1">
      <alignment vertical="top" wrapText="1"/>
    </xf>
    <xf numFmtId="1" fontId="4" fillId="0" borderId="4" xfId="3" applyNumberFormat="1" applyFont="1" applyBorder="1" applyAlignment="1">
      <alignment horizontal="right" vertical="center" wrapText="1"/>
    </xf>
    <xf numFmtId="3" fontId="4" fillId="0" borderId="5" xfId="3" applyNumberFormat="1" applyFont="1" applyBorder="1" applyAlignment="1">
      <alignment horizontal="right" vertical="center" wrapText="1"/>
    </xf>
    <xf numFmtId="9" fontId="4" fillId="0" borderId="6" xfId="7" applyFont="1" applyBorder="1" applyAlignment="1">
      <alignment horizontal="right" vertical="center" wrapText="1"/>
    </xf>
    <xf numFmtId="4" fontId="4" fillId="0" borderId="13" xfId="5" applyNumberFormat="1" applyFont="1" applyBorder="1" applyAlignment="1">
      <alignment horizontal="right" vertical="center"/>
    </xf>
    <xf numFmtId="3" fontId="4" fillId="0" borderId="13" xfId="5" applyNumberFormat="1" applyFont="1" applyBorder="1" applyAlignment="1">
      <alignment horizontal="right" vertical="center"/>
    </xf>
    <xf numFmtId="9" fontId="4" fillId="0" borderId="13" xfId="5" applyNumberFormat="1" applyFont="1" applyBorder="1" applyAlignment="1">
      <alignment horizontal="right" vertical="center"/>
    </xf>
    <xf numFmtId="3" fontId="3" fillId="0" borderId="13" xfId="5" applyNumberFormat="1" applyFont="1" applyBorder="1" applyAlignment="1">
      <alignment horizontal="right" vertical="center"/>
    </xf>
    <xf numFmtId="4" fontId="3" fillId="2" borderId="4" xfId="3" applyNumberFormat="1" applyFont="1" applyFill="1" applyBorder="1" applyAlignment="1">
      <alignment horizontal="center" vertical="center" wrapText="1"/>
    </xf>
    <xf numFmtId="4" fontId="4" fillId="2" borderId="4" xfId="3" applyNumberFormat="1" applyFont="1" applyFill="1" applyBorder="1" applyAlignment="1">
      <alignment horizontal="center" vertical="center" wrapText="1"/>
    </xf>
    <xf numFmtId="9" fontId="4" fillId="0" borderId="4" xfId="7" applyFont="1" applyFill="1" applyBorder="1" applyAlignment="1">
      <alignment horizontal="right" vertical="center" wrapText="1"/>
    </xf>
    <xf numFmtId="0" fontId="18" fillId="0" borderId="3" xfId="0" applyFont="1" applyBorder="1"/>
    <xf numFmtId="4" fontId="4" fillId="0" borderId="4" xfId="3" applyNumberFormat="1" applyFont="1" applyBorder="1" applyAlignment="1">
      <alignment horizontal="right" vertical="center" wrapText="1"/>
    </xf>
    <xf numFmtId="0" fontId="4" fillId="0" borderId="4" xfId="8" quotePrefix="1" applyFont="1" applyFill="1" applyBorder="1" applyAlignment="1">
      <alignment horizontal="left" vertical="center" wrapText="1"/>
    </xf>
    <xf numFmtId="0" fontId="11" fillId="0" borderId="4" xfId="3" quotePrefix="1" applyFont="1" applyFill="1" applyBorder="1" applyAlignment="1">
      <alignment horizontal="justify" vertical="top" wrapText="1"/>
    </xf>
    <xf numFmtId="4" fontId="4" fillId="0" borderId="4" xfId="6" applyNumberFormat="1" applyFont="1" applyFill="1" applyBorder="1" applyAlignment="1">
      <alignment horizontal="right" vertical="center" wrapText="1"/>
    </xf>
    <xf numFmtId="3" fontId="11" fillId="0" borderId="7" xfId="3" applyNumberFormat="1" applyFont="1" applyBorder="1" applyAlignment="1">
      <alignment vertical="center" wrapText="1"/>
    </xf>
    <xf numFmtId="3" fontId="3" fillId="0" borderId="4" xfId="1" applyNumberFormat="1" applyFont="1" applyBorder="1" applyAlignment="1">
      <alignment vertical="center"/>
    </xf>
    <xf numFmtId="0" fontId="3" fillId="0" borderId="5" xfId="3" applyFont="1" applyBorder="1" applyAlignment="1">
      <alignment horizontal="center" vertical="center" wrapText="1"/>
    </xf>
    <xf numFmtId="0" fontId="4" fillId="0" borderId="10" xfId="1" applyFont="1" applyBorder="1" applyAlignment="1">
      <alignment horizontal="center" vertical="center" wrapText="1"/>
    </xf>
    <xf numFmtId="2" fontId="4" fillId="0" borderId="4" xfId="3" applyNumberFormat="1" applyFont="1" applyFill="1" applyBorder="1" applyAlignment="1">
      <alignment horizontal="right" vertical="center" wrapText="1"/>
    </xf>
    <xf numFmtId="0" fontId="4" fillId="0" borderId="10" xfId="1" applyFont="1" applyBorder="1"/>
    <xf numFmtId="0" fontId="3" fillId="0" borderId="3" xfId="0" applyFont="1" applyBorder="1" applyAlignment="1">
      <alignment vertical="top" wrapText="1"/>
    </xf>
    <xf numFmtId="0" fontId="18" fillId="0" borderId="8" xfId="0" applyFont="1" applyBorder="1"/>
    <xf numFmtId="0" fontId="3" fillId="0" borderId="8" xfId="0" applyFont="1" applyBorder="1" applyAlignment="1">
      <alignment vertical="top" wrapText="1"/>
    </xf>
    <xf numFmtId="0" fontId="3" fillId="0" borderId="10" xfId="1" quotePrefix="1" applyFont="1" applyBorder="1" applyAlignment="1">
      <alignment horizontal="center" wrapText="1"/>
    </xf>
    <xf numFmtId="0" fontId="3" fillId="0" borderId="10" xfId="2" applyFont="1" applyBorder="1" applyAlignment="1">
      <alignment horizontal="center" wrapText="1"/>
    </xf>
    <xf numFmtId="0" fontId="3" fillId="0" borderId="10" xfId="1" applyFont="1" applyBorder="1" applyAlignment="1">
      <alignment horizontal="center" vertical="top" wrapText="1"/>
    </xf>
    <xf numFmtId="0" fontId="4" fillId="0" borderId="3" xfId="1" applyFont="1" applyBorder="1" applyAlignment="1">
      <alignment horizontal="center" vertical="center" wrapText="1"/>
    </xf>
    <xf numFmtId="4" fontId="4" fillId="2" borderId="4" xfId="3" applyNumberFormat="1" applyFont="1" applyFill="1" applyBorder="1" applyAlignment="1">
      <alignment horizontal="right" vertical="center" wrapText="1"/>
    </xf>
    <xf numFmtId="0" fontId="4" fillId="0" borderId="3" xfId="2" applyFont="1" applyBorder="1" applyAlignment="1">
      <alignment horizontal="center" vertical="top" wrapText="1"/>
    </xf>
    <xf numFmtId="0" fontId="3" fillId="0" borderId="3" xfId="1" applyFont="1" applyBorder="1" applyAlignment="1">
      <alignment horizontal="center" vertical="center" wrapText="1"/>
    </xf>
    <xf numFmtId="0" fontId="4" fillId="0" borderId="3" xfId="1" applyFont="1" applyFill="1" applyBorder="1" applyAlignment="1">
      <alignment horizontal="center" vertical="top" wrapText="1"/>
    </xf>
    <xf numFmtId="0" fontId="4" fillId="0" borderId="3" xfId="1" quotePrefix="1" applyFont="1" applyBorder="1" applyAlignment="1">
      <alignment vertical="top" wrapText="1"/>
    </xf>
    <xf numFmtId="0" fontId="4" fillId="0" borderId="3" xfId="1" applyFont="1" applyBorder="1" applyAlignment="1">
      <alignment horizontal="center" vertical="center" wrapText="1"/>
    </xf>
    <xf numFmtId="0" fontId="4" fillId="0" borderId="18" xfId="1" applyFont="1" applyFill="1" applyBorder="1" applyAlignment="1">
      <alignment horizontal="center" vertical="center" wrapText="1"/>
    </xf>
    <xf numFmtId="0" fontId="6" fillId="0" borderId="0" xfId="2" quotePrefix="1" applyFont="1" applyAlignment="1">
      <alignment horizontal="center" vertical="top" wrapText="1"/>
    </xf>
    <xf numFmtId="0" fontId="6" fillId="0" borderId="0" xfId="2" quotePrefix="1" applyFont="1" applyAlignment="1">
      <alignment horizontal="right" vertical="top" wrapText="1"/>
    </xf>
    <xf numFmtId="164" fontId="7" fillId="2" borderId="2" xfId="1" applyNumberFormat="1" applyFont="1" applyFill="1" applyBorder="1" applyAlignment="1">
      <alignment horizontal="center" vertical="center"/>
    </xf>
    <xf numFmtId="164" fontId="7" fillId="0" borderId="2" xfId="1" applyNumberFormat="1" applyFont="1" applyBorder="1" applyAlignment="1">
      <alignment horizontal="center" vertical="center" wrapText="1"/>
    </xf>
    <xf numFmtId="164" fontId="7" fillId="0" borderId="2" xfId="3" applyNumberFormat="1" applyFont="1" applyBorder="1" applyAlignment="1">
      <alignment horizontal="center" vertical="center" wrapText="1"/>
    </xf>
    <xf numFmtId="164" fontId="7" fillId="0" borderId="2" xfId="1" applyNumberFormat="1" applyFont="1" applyBorder="1" applyAlignment="1">
      <alignment horizontal="center" vertical="center"/>
    </xf>
    <xf numFmtId="164" fontId="3" fillId="0" borderId="4" xfId="1" applyNumberFormat="1" applyFont="1" applyBorder="1" applyAlignment="1">
      <alignment horizontal="left" vertical="top"/>
    </xf>
    <xf numFmtId="164" fontId="3" fillId="0" borderId="4" xfId="3" applyNumberFormat="1" applyFont="1" applyBorder="1" applyAlignment="1">
      <alignment horizontal="right" vertical="center" wrapText="1"/>
    </xf>
    <xf numFmtId="165" fontId="3" fillId="0" borderId="4" xfId="1" applyNumberFormat="1" applyFont="1" applyBorder="1" applyAlignment="1">
      <alignment horizontal="center" vertical="center" wrapText="1"/>
    </xf>
    <xf numFmtId="3" fontId="3" fillId="2" borderId="4" xfId="3" applyNumberFormat="1" applyFont="1" applyFill="1" applyBorder="1" applyAlignment="1">
      <alignment horizontal="right" vertical="center" wrapText="1"/>
    </xf>
    <xf numFmtId="0" fontId="4" fillId="0" borderId="4" xfId="1" applyFont="1" applyBorder="1" applyAlignment="1">
      <alignment wrapText="1"/>
    </xf>
    <xf numFmtId="2" fontId="4" fillId="0" borderId="4" xfId="3" applyNumberFormat="1" applyFont="1" applyBorder="1" applyAlignment="1">
      <alignment horizontal="center" vertical="center" wrapText="1"/>
    </xf>
    <xf numFmtId="0" fontId="4" fillId="2" borderId="3" xfId="1" applyFont="1" applyFill="1" applyBorder="1" applyAlignment="1">
      <alignment wrapText="1"/>
    </xf>
    <xf numFmtId="166" fontId="3" fillId="0" borderId="4" xfId="3" applyNumberFormat="1" applyFont="1" applyBorder="1" applyAlignment="1">
      <alignment horizontal="right" vertical="center" wrapText="1"/>
    </xf>
    <xf numFmtId="170" fontId="4" fillId="0" borderId="4" xfId="3" applyNumberFormat="1" applyFont="1" applyBorder="1" applyAlignment="1">
      <alignment horizontal="center" vertical="center" wrapText="1"/>
    </xf>
    <xf numFmtId="0" fontId="4" fillId="0" borderId="4" xfId="3" applyFont="1" applyBorder="1" applyAlignment="1">
      <alignment horizontal="left" vertical="center" wrapText="1"/>
    </xf>
    <xf numFmtId="0" fontId="18" fillId="0" borderId="0" xfId="0" applyFont="1" applyAlignment="1">
      <alignment wrapText="1"/>
    </xf>
    <xf numFmtId="0" fontId="4" fillId="0" borderId="3" xfId="2" applyFont="1" applyBorder="1" applyAlignment="1">
      <alignment vertical="center" wrapText="1"/>
    </xf>
    <xf numFmtId="0" fontId="4" fillId="0" borderId="4" xfId="0" applyFont="1" applyBorder="1"/>
    <xf numFmtId="0" fontId="4" fillId="0" borderId="3" xfId="0" applyFont="1" applyBorder="1"/>
    <xf numFmtId="3" fontId="4" fillId="0" borderId="4" xfId="6" applyNumberFormat="1" applyFont="1" applyBorder="1" applyAlignment="1">
      <alignment horizontal="center" vertical="center" wrapText="1"/>
    </xf>
    <xf numFmtId="3" fontId="37" fillId="0" borderId="4" xfId="5" applyNumberFormat="1" applyFont="1" applyBorder="1" applyAlignment="1">
      <alignment horizontal="right" vertical="center" wrapText="1"/>
    </xf>
    <xf numFmtId="4" fontId="4" fillId="0" borderId="4" xfId="2" applyNumberFormat="1" applyFont="1" applyBorder="1" applyAlignment="1">
      <alignment horizontal="center" vertical="center"/>
    </xf>
    <xf numFmtId="0" fontId="40" fillId="0" borderId="4" xfId="0" applyFont="1" applyBorder="1"/>
    <xf numFmtId="0" fontId="4" fillId="0" borderId="1" xfId="2" applyFont="1" applyBorder="1" applyAlignment="1">
      <alignment vertical="center" wrapText="1"/>
    </xf>
    <xf numFmtId="4" fontId="4" fillId="0" borderId="4" xfId="5" applyNumberFormat="1" applyFont="1" applyBorder="1" applyAlignment="1">
      <alignment horizontal="center" vertical="center"/>
    </xf>
    <xf numFmtId="0" fontId="11" fillId="0" borderId="4" xfId="5" applyFont="1" applyBorder="1" applyAlignment="1">
      <alignment horizontal="right" vertical="center" wrapText="1"/>
    </xf>
    <xf numFmtId="3" fontId="4" fillId="0" borderId="4" xfId="5" applyNumberFormat="1" applyFont="1" applyBorder="1" applyAlignment="1">
      <alignment horizontal="center" vertical="center"/>
    </xf>
    <xf numFmtId="0" fontId="14" fillId="0" borderId="4" xfId="8" quotePrefix="1" applyFont="1" applyBorder="1" applyAlignment="1">
      <alignment vertical="center" wrapText="1"/>
    </xf>
    <xf numFmtId="4" fontId="13" fillId="0" borderId="4" xfId="3" applyNumberFormat="1" applyFont="1" applyBorder="1" applyAlignment="1">
      <alignment horizontal="center" vertical="top"/>
    </xf>
    <xf numFmtId="0" fontId="13" fillId="0" borderId="4" xfId="8" applyFont="1" applyBorder="1" applyAlignment="1">
      <alignment horizontal="center" vertical="top"/>
    </xf>
    <xf numFmtId="0" fontId="14" fillId="0" borderId="4" xfId="8" quotePrefix="1" applyFont="1" applyBorder="1" applyAlignment="1">
      <alignment horizontal="right" vertical="center" wrapText="1"/>
    </xf>
    <xf numFmtId="0" fontId="40" fillId="0" borderId="9" xfId="0" applyFont="1" applyBorder="1"/>
    <xf numFmtId="0" fontId="18" fillId="0" borderId="1" xfId="0" applyFont="1" applyBorder="1"/>
    <xf numFmtId="0" fontId="18" fillId="0" borderId="0" xfId="0" applyFont="1" applyAlignment="1">
      <alignment horizontal="center"/>
    </xf>
    <xf numFmtId="0" fontId="18" fillId="0" borderId="0" xfId="0" applyFont="1" applyAlignment="1">
      <alignment horizontal="right"/>
    </xf>
    <xf numFmtId="0" fontId="4" fillId="0" borderId="4" xfId="3" applyFont="1" applyBorder="1" applyAlignment="1">
      <alignment horizontal="center" vertical="top" wrapText="1"/>
    </xf>
    <xf numFmtId="0" fontId="4" fillId="0" borderId="3" xfId="1" applyFont="1" applyBorder="1" applyAlignment="1">
      <alignment horizontal="center" vertical="center" wrapText="1"/>
    </xf>
    <xf numFmtId="4" fontId="4" fillId="0" borderId="4" xfId="3" applyNumberFormat="1" applyFont="1" applyFill="1" applyBorder="1" applyAlignment="1">
      <alignment horizontal="right" vertical="center" wrapText="1"/>
    </xf>
    <xf numFmtId="0" fontId="11" fillId="0" borderId="4" xfId="8" quotePrefix="1" applyFont="1" applyFill="1" applyBorder="1" applyAlignment="1">
      <alignment horizontal="left" vertical="top" wrapText="1"/>
    </xf>
    <xf numFmtId="0" fontId="4" fillId="0" borderId="3" xfId="1" quotePrefix="1" applyFont="1" applyBorder="1" applyAlignment="1">
      <alignment horizontal="center" vertical="top" wrapText="1"/>
    </xf>
    <xf numFmtId="0" fontId="4" fillId="0" borderId="3" xfId="1" quotePrefix="1" applyFont="1" applyBorder="1" applyAlignment="1">
      <alignment horizontal="center" wrapText="1"/>
    </xf>
    <xf numFmtId="0" fontId="4" fillId="0" borderId="0" xfId="1" applyFont="1" applyBorder="1" applyAlignment="1">
      <alignment horizontal="center" vertical="center" wrapText="1"/>
    </xf>
    <xf numFmtId="0" fontId="11" fillId="0" borderId="3" xfId="2" quotePrefix="1" applyFont="1" applyBorder="1" applyAlignment="1">
      <alignment horizontal="left" vertical="center" wrapText="1"/>
    </xf>
    <xf numFmtId="0" fontId="4" fillId="0" borderId="18" xfId="1" applyFont="1" applyBorder="1"/>
    <xf numFmtId="0" fontId="3" fillId="0" borderId="10" xfId="1" applyFont="1" applyBorder="1" applyAlignment="1">
      <alignment horizontal="center"/>
    </xf>
    <xf numFmtId="0" fontId="4" fillId="0" borderId="10" xfId="1" applyFont="1" applyBorder="1" applyAlignment="1">
      <alignment horizontal="center" vertical="top" wrapText="1"/>
    </xf>
    <xf numFmtId="0" fontId="4" fillId="0" borderId="10" xfId="1" applyFont="1" applyBorder="1" applyAlignment="1">
      <alignment wrapText="1"/>
    </xf>
    <xf numFmtId="0" fontId="4" fillId="2" borderId="10" xfId="1" applyFont="1" applyFill="1" applyBorder="1" applyAlignment="1">
      <alignment wrapText="1"/>
    </xf>
    <xf numFmtId="2" fontId="4" fillId="0" borderId="10" xfId="1" applyNumberFormat="1" applyFont="1" applyBorder="1"/>
    <xf numFmtId="0" fontId="18" fillId="0" borderId="10" xfId="0" applyFont="1" applyBorder="1"/>
    <xf numFmtId="0" fontId="46" fillId="0" borderId="4" xfId="2" applyFont="1" applyBorder="1" applyAlignment="1">
      <alignment horizontal="center" vertical="center"/>
    </xf>
    <xf numFmtId="0" fontId="18" fillId="0" borderId="9" xfId="0" applyFont="1" applyBorder="1"/>
    <xf numFmtId="0" fontId="3" fillId="0" borderId="4" xfId="2" quotePrefix="1" applyFont="1" applyBorder="1" applyAlignment="1">
      <alignment vertical="top" wrapText="1"/>
    </xf>
    <xf numFmtId="0" fontId="3" fillId="0" borderId="3" xfId="1" quotePrefix="1" applyFont="1" applyBorder="1" applyAlignment="1">
      <alignment horizontal="center" vertical="center" wrapText="1"/>
    </xf>
    <xf numFmtId="0" fontId="16" fillId="0" borderId="4" xfId="5" quotePrefix="1" applyFont="1" applyBorder="1" applyAlignment="1">
      <alignment horizontal="left" vertical="center" wrapText="1"/>
    </xf>
    <xf numFmtId="0" fontId="17" fillId="0" borderId="4" xfId="1" applyFont="1" applyBorder="1" applyAlignment="1">
      <alignment horizontal="center" vertical="center"/>
    </xf>
    <xf numFmtId="4" fontId="17" fillId="0" borderId="4" xfId="1" applyNumberFormat="1" applyFont="1" applyBorder="1" applyAlignment="1">
      <alignment horizontal="right" vertical="center" wrapText="1"/>
    </xf>
    <xf numFmtId="0" fontId="46" fillId="0" borderId="4" xfId="1" applyFont="1" applyBorder="1" applyAlignment="1">
      <alignment horizontal="left" vertical="center" wrapText="1"/>
    </xf>
    <xf numFmtId="0" fontId="4" fillId="0" borderId="2" xfId="2" applyFont="1" applyBorder="1" applyAlignment="1">
      <alignment vertical="center" wrapText="1"/>
    </xf>
    <xf numFmtId="0" fontId="4" fillId="0" borderId="3" xfId="2" applyFont="1" applyBorder="1" applyAlignment="1">
      <alignment horizontal="center" vertical="center" wrapText="1"/>
    </xf>
    <xf numFmtId="0" fontId="11" fillId="0" borderId="4" xfId="5" applyFont="1" applyBorder="1" applyAlignment="1">
      <alignment horizontal="justify" vertical="center" wrapText="1"/>
    </xf>
    <xf numFmtId="0" fontId="46" fillId="0" borderId="4" xfId="1" applyFont="1" applyBorder="1" applyAlignment="1">
      <alignment wrapText="1"/>
    </xf>
    <xf numFmtId="0" fontId="47" fillId="0" borderId="4" xfId="3" quotePrefix="1" applyFont="1" applyBorder="1" applyAlignment="1">
      <alignment horizontal="justify" vertical="top" wrapText="1"/>
    </xf>
    <xf numFmtId="0" fontId="4" fillId="0" borderId="4" xfId="3" quotePrefix="1" applyFont="1" applyFill="1" applyBorder="1" applyAlignment="1">
      <alignment horizontal="justify" vertical="top" wrapText="1"/>
    </xf>
    <xf numFmtId="3" fontId="4" fillId="0" borderId="13" xfId="3" applyNumberFormat="1" applyFont="1" applyBorder="1" applyAlignment="1">
      <alignment horizontal="right" vertical="center" wrapText="1"/>
    </xf>
    <xf numFmtId="0" fontId="4" fillId="0" borderId="8" xfId="1" applyFont="1" applyBorder="1" applyAlignment="1">
      <alignment wrapText="1"/>
    </xf>
    <xf numFmtId="0" fontId="4" fillId="0" borderId="8" xfId="1" applyFont="1" applyBorder="1" applyAlignment="1">
      <alignment horizontal="center" vertical="center" wrapText="1"/>
    </xf>
    <xf numFmtId="0" fontId="46" fillId="0" borderId="4" xfId="1" applyFont="1" applyBorder="1" applyAlignment="1">
      <alignment vertical="center" wrapText="1"/>
    </xf>
    <xf numFmtId="0" fontId="3" fillId="0" borderId="3" xfId="1" applyFont="1" applyBorder="1" applyAlignment="1">
      <alignment horizontal="center" wrapText="1"/>
    </xf>
    <xf numFmtId="0" fontId="46" fillId="0" borderId="4" xfId="1" applyFont="1" applyBorder="1" applyAlignment="1">
      <alignment vertical="top" wrapText="1"/>
    </xf>
    <xf numFmtId="0" fontId="4" fillId="0" borderId="10" xfId="2" applyFont="1" applyBorder="1" applyAlignment="1">
      <alignment horizontal="center" vertical="top" wrapText="1"/>
    </xf>
    <xf numFmtId="0" fontId="3" fillId="0" borderId="10" xfId="1" quotePrefix="1" applyFont="1" applyBorder="1" applyAlignment="1">
      <alignment horizontal="center" vertical="center" wrapText="1"/>
    </xf>
    <xf numFmtId="0" fontId="4" fillId="0" borderId="13" xfId="1" applyFont="1" applyBorder="1"/>
    <xf numFmtId="0" fontId="3" fillId="0" borderId="5" xfId="1" applyFont="1" applyBorder="1" applyAlignment="1">
      <alignment horizontal="center" vertical="center"/>
    </xf>
    <xf numFmtId="164" fontId="3" fillId="0" borderId="7" xfId="1" applyNumberFormat="1" applyFont="1" applyBorder="1" applyAlignment="1">
      <alignment horizontal="left" vertical="top"/>
    </xf>
    <xf numFmtId="0" fontId="4" fillId="0" borderId="25" xfId="1" applyFont="1" applyBorder="1"/>
    <xf numFmtId="164" fontId="3" fillId="0" borderId="7" xfId="1" applyNumberFormat="1" applyFont="1" applyBorder="1" applyAlignment="1">
      <alignment horizontal="left" vertical="center"/>
    </xf>
    <xf numFmtId="0" fontId="3" fillId="0" borderId="7" xfId="3" applyFont="1" applyBorder="1" applyAlignment="1">
      <alignment horizontal="justify" vertical="center" wrapText="1"/>
    </xf>
    <xf numFmtId="0" fontId="4" fillId="0" borderId="7" xfId="3" applyFont="1" applyBorder="1" applyAlignment="1">
      <alignment horizontal="justify" vertical="center" wrapText="1"/>
    </xf>
    <xf numFmtId="0" fontId="4" fillId="0" borderId="7" xfId="3" quotePrefix="1" applyFont="1" applyBorder="1" applyAlignment="1">
      <alignment horizontal="justify" vertical="top" wrapText="1"/>
    </xf>
    <xf numFmtId="0" fontId="4" fillId="0" borderId="7" xfId="3" quotePrefix="1" applyFont="1" applyBorder="1" applyAlignment="1">
      <alignment horizontal="justify" vertical="center" wrapText="1"/>
    </xf>
    <xf numFmtId="0" fontId="11" fillId="0" borderId="7" xfId="3" quotePrefix="1" applyFont="1" applyBorder="1" applyAlignment="1">
      <alignment horizontal="left" vertical="top" wrapText="1"/>
    </xf>
    <xf numFmtId="170" fontId="4" fillId="0" borderId="4" xfId="3" applyNumberFormat="1" applyFont="1" applyBorder="1" applyAlignment="1">
      <alignment horizontal="right" vertical="center" wrapText="1"/>
    </xf>
    <xf numFmtId="0" fontId="11" fillId="0" borderId="7" xfId="3" quotePrefix="1" applyFont="1" applyBorder="1" applyAlignment="1">
      <alignment horizontal="justify" vertical="top" wrapText="1"/>
    </xf>
    <xf numFmtId="0" fontId="11" fillId="0" borderId="7" xfId="3" quotePrefix="1" applyFont="1" applyBorder="1" applyAlignment="1">
      <alignment horizontal="justify" vertical="center" wrapText="1"/>
    </xf>
    <xf numFmtId="165" fontId="18" fillId="0" borderId="0" xfId="0" applyNumberFormat="1" applyFont="1"/>
    <xf numFmtId="0" fontId="4" fillId="0" borderId="7" xfId="3" quotePrefix="1" applyFont="1" applyBorder="1" applyAlignment="1">
      <alignment horizontal="left" vertical="center" wrapText="1"/>
    </xf>
    <xf numFmtId="3" fontId="4" fillId="0" borderId="18" xfId="3" applyNumberFormat="1" applyFont="1" applyBorder="1" applyAlignment="1">
      <alignment horizontal="right" vertical="center" wrapText="1"/>
    </xf>
    <xf numFmtId="43" fontId="11" fillId="0" borderId="7" xfId="15" quotePrefix="1" applyFont="1" applyBorder="1" applyAlignment="1">
      <alignment horizontal="justify" vertical="center" wrapText="1"/>
    </xf>
    <xf numFmtId="0" fontId="11" fillId="0" borderId="7" xfId="3" quotePrefix="1" applyFont="1" applyBorder="1" applyAlignment="1">
      <alignment horizontal="left" vertical="center" wrapText="1"/>
    </xf>
    <xf numFmtId="0" fontId="16" fillId="0" borderId="3" xfId="0" applyFont="1" applyBorder="1" applyAlignment="1">
      <alignment horizontal="center" vertical="center" wrapText="1"/>
    </xf>
    <xf numFmtId="0" fontId="17" fillId="0" borderId="3" xfId="0" applyFont="1" applyBorder="1" applyAlignment="1">
      <alignment wrapText="1"/>
    </xf>
    <xf numFmtId="3" fontId="26" fillId="0" borderId="1" xfId="2" applyNumberFormat="1" applyFont="1" applyBorder="1" applyAlignment="1">
      <alignment horizontal="center" vertical="center"/>
    </xf>
    <xf numFmtId="0" fontId="11" fillId="0" borderId="9" xfId="5" applyFont="1" applyBorder="1" applyAlignment="1">
      <alignment horizontal="justify" vertical="top" wrapText="1"/>
    </xf>
    <xf numFmtId="0" fontId="4" fillId="0" borderId="3" xfId="1" applyFont="1" applyBorder="1" applyAlignment="1">
      <alignment horizontal="center" vertical="center" wrapText="1"/>
    </xf>
    <xf numFmtId="0" fontId="4" fillId="0" borderId="10" xfId="1" applyFont="1" applyBorder="1" applyAlignment="1">
      <alignment horizontal="center" vertical="center" wrapText="1"/>
    </xf>
    <xf numFmtId="0" fontId="3" fillId="0" borderId="31" xfId="3" applyFont="1" applyBorder="1" applyAlignment="1">
      <alignment horizontal="center" vertical="center" wrapText="1"/>
    </xf>
    <xf numFmtId="0" fontId="3" fillId="0" borderId="10" xfId="2" applyFont="1" applyBorder="1" applyAlignment="1">
      <alignment wrapText="1"/>
    </xf>
    <xf numFmtId="0" fontId="3" fillId="0" borderId="10" xfId="1" quotePrefix="1" applyFont="1" applyBorder="1" applyAlignment="1">
      <alignment horizontal="center" vertical="top" wrapText="1"/>
    </xf>
    <xf numFmtId="0" fontId="4" fillId="0" borderId="10" xfId="1" applyFont="1" applyBorder="1" applyAlignment="1">
      <alignment horizontal="center" vertical="center" wrapText="1"/>
    </xf>
    <xf numFmtId="3" fontId="18" fillId="0" borderId="0" xfId="0" applyNumberFormat="1" applyFont="1"/>
    <xf numFmtId="0" fontId="4" fillId="2" borderId="4" xfId="3" quotePrefix="1" applyFont="1" applyFill="1" applyBorder="1" applyAlignment="1">
      <alignment horizontal="justify" vertical="top" wrapText="1"/>
    </xf>
    <xf numFmtId="3" fontId="3" fillId="0" borderId="4" xfId="1" applyNumberFormat="1" applyFont="1" applyBorder="1" applyAlignment="1">
      <alignment horizontal="right" vertical="center"/>
    </xf>
    <xf numFmtId="164" fontId="3" fillId="0" borderId="3" xfId="1" applyNumberFormat="1" applyFont="1" applyBorder="1" applyAlignment="1">
      <alignment horizontal="center" vertical="center" wrapText="1"/>
    </xf>
    <xf numFmtId="0" fontId="4" fillId="2" borderId="3" xfId="1" applyFont="1" applyFill="1" applyBorder="1" applyAlignment="1">
      <alignment vertical="center"/>
    </xf>
    <xf numFmtId="3" fontId="3" fillId="0" borderId="3" xfId="1" applyNumberFormat="1" applyFont="1" applyBorder="1"/>
    <xf numFmtId="0" fontId="17" fillId="0" borderId="3" xfId="0" applyFont="1" applyBorder="1" applyAlignment="1">
      <alignment horizontal="center" vertical="top" wrapText="1"/>
    </xf>
    <xf numFmtId="0" fontId="18" fillId="0" borderId="4" xfId="0" applyFont="1" applyBorder="1" applyAlignment="1">
      <alignment horizontal="right"/>
    </xf>
    <xf numFmtId="165" fontId="3" fillId="0" borderId="18" xfId="1" applyNumberFormat="1" applyFont="1" applyBorder="1" applyAlignment="1">
      <alignment horizontal="center" vertical="center" wrapText="1"/>
    </xf>
    <xf numFmtId="0" fontId="46" fillId="0" borderId="3" xfId="1" applyFont="1" applyBorder="1" applyAlignment="1">
      <alignment wrapText="1"/>
    </xf>
    <xf numFmtId="9" fontId="4" fillId="0" borderId="3" xfId="7" applyFont="1" applyBorder="1" applyAlignment="1">
      <alignment horizontal="left" vertical="center" wrapText="1"/>
    </xf>
    <xf numFmtId="3" fontId="3" fillId="0" borderId="3" xfId="1" applyNumberFormat="1" applyFont="1" applyBorder="1" applyAlignment="1">
      <alignment vertical="center"/>
    </xf>
    <xf numFmtId="3" fontId="3" fillId="0" borderId="3" xfId="2" applyNumberFormat="1" applyFont="1" applyBorder="1" applyAlignment="1">
      <alignment horizontal="right" vertical="center"/>
    </xf>
    <xf numFmtId="0" fontId="11" fillId="0" borderId="4" xfId="3" applyFont="1" applyBorder="1" applyAlignment="1">
      <alignment vertical="center" wrapText="1"/>
    </xf>
    <xf numFmtId="0" fontId="4" fillId="0" borderId="4" xfId="2" applyFont="1" applyBorder="1" applyAlignment="1">
      <alignment vertical="center" wrapText="1"/>
    </xf>
    <xf numFmtId="0" fontId="11" fillId="0" borderId="5" xfId="3" applyFont="1" applyBorder="1" applyAlignment="1">
      <alignment vertical="center" wrapText="1"/>
    </xf>
    <xf numFmtId="0" fontId="3" fillId="0" borderId="5" xfId="3" applyFont="1" applyBorder="1" applyAlignment="1">
      <alignment horizontal="justify" vertical="center" wrapText="1"/>
    </xf>
    <xf numFmtId="0" fontId="11" fillId="0" borderId="4" xfId="2" applyFont="1" applyBorder="1" applyAlignment="1">
      <alignment vertical="center"/>
    </xf>
    <xf numFmtId="0" fontId="4" fillId="0" borderId="0" xfId="16" applyFont="1" applyAlignment="1">
      <alignment horizontal="justify" vertical="center" wrapText="1"/>
    </xf>
    <xf numFmtId="0" fontId="1" fillId="0" borderId="0" xfId="17"/>
    <xf numFmtId="0" fontId="3" fillId="0" borderId="0" xfId="16" applyFont="1" applyAlignment="1">
      <alignment horizontal="center" vertical="center"/>
    </xf>
    <xf numFmtId="0" fontId="3" fillId="0" borderId="0" xfId="16" applyFont="1" applyAlignment="1">
      <alignment vertical="center"/>
    </xf>
    <xf numFmtId="0" fontId="3" fillId="0" borderId="0" xfId="16" applyFont="1" applyAlignment="1">
      <alignment horizontal="left" vertical="center"/>
    </xf>
    <xf numFmtId="4" fontId="3" fillId="0" borderId="0" xfId="16" applyNumberFormat="1" applyFont="1" applyAlignment="1">
      <alignment vertical="center"/>
    </xf>
    <xf numFmtId="0" fontId="4" fillId="0" borderId="0" xfId="16" applyFont="1" applyAlignment="1">
      <alignment horizontal="center" vertical="center"/>
    </xf>
    <xf numFmtId="0" fontId="23" fillId="0" borderId="0" xfId="17" applyFont="1"/>
    <xf numFmtId="0" fontId="4" fillId="0" borderId="0" xfId="16" applyFont="1" applyAlignment="1">
      <alignment horizontal="justify" vertical="center"/>
    </xf>
    <xf numFmtId="0" fontId="3" fillId="0" borderId="0" xfId="16" applyFont="1" applyAlignment="1">
      <alignment horizontal="center" vertical="top"/>
    </xf>
    <xf numFmtId="165" fontId="28" fillId="0" borderId="0" xfId="2" applyNumberFormat="1" applyFont="1" applyAlignment="1">
      <alignment horizontal="right" vertical="center"/>
    </xf>
    <xf numFmtId="0" fontId="19" fillId="0" borderId="0" xfId="0" applyFont="1" applyAlignment="1">
      <alignment horizontal="center" wrapText="1"/>
    </xf>
    <xf numFmtId="0" fontId="19" fillId="0" borderId="0" xfId="13" applyFont="1" applyAlignment="1">
      <alignment horizontal="center" wrapText="1"/>
    </xf>
    <xf numFmtId="0" fontId="20" fillId="0" borderId="0" xfId="0" applyFont="1" applyAlignment="1">
      <alignment horizontal="center" wrapText="1"/>
    </xf>
    <xf numFmtId="0" fontId="19" fillId="0" borderId="0" xfId="0" applyFont="1" applyAlignment="1">
      <alignment horizontal="center" vertical="center" wrapText="1"/>
    </xf>
    <xf numFmtId="0" fontId="19" fillId="0" borderId="0" xfId="13" applyFont="1" applyAlignment="1">
      <alignment horizontal="center" vertical="center" wrapText="1"/>
    </xf>
    <xf numFmtId="0" fontId="20" fillId="0" borderId="0" xfId="0" applyFont="1" applyAlignment="1">
      <alignment horizontal="center" vertical="center" wrapText="1"/>
    </xf>
    <xf numFmtId="0" fontId="21" fillId="0" borderId="0" xfId="13" applyFont="1" applyAlignment="1">
      <alignment horizontal="center" vertical="top" wrapText="1"/>
    </xf>
    <xf numFmtId="0" fontId="16" fillId="0" borderId="2" xfId="2" applyFont="1" applyBorder="1" applyAlignment="1">
      <alignment horizontal="center" vertical="center" wrapText="1"/>
    </xf>
    <xf numFmtId="0" fontId="23" fillId="0" borderId="8" xfId="2" applyFont="1" applyBorder="1" applyAlignment="1">
      <alignment horizontal="center" vertical="center"/>
    </xf>
    <xf numFmtId="0" fontId="10" fillId="0" borderId="8" xfId="2" applyFont="1" applyBorder="1" applyAlignment="1">
      <alignment horizontal="center" vertical="center"/>
    </xf>
    <xf numFmtId="0" fontId="22" fillId="0" borderId="2" xfId="2" applyFont="1" applyBorder="1" applyAlignment="1">
      <alignment horizontal="center" vertical="center" wrapText="1"/>
    </xf>
    <xf numFmtId="0" fontId="22" fillId="0" borderId="8" xfId="2" applyFont="1" applyBorder="1" applyAlignment="1">
      <alignment horizontal="center" vertical="center" wrapText="1"/>
    </xf>
    <xf numFmtId="0" fontId="19" fillId="0" borderId="14" xfId="2" applyFont="1" applyBorder="1" applyAlignment="1">
      <alignment horizontal="center" vertical="center" wrapText="1"/>
    </xf>
    <xf numFmtId="0" fontId="19" fillId="0" borderId="15" xfId="2" applyFont="1" applyBorder="1" applyAlignment="1">
      <alignment horizontal="center" vertical="center" wrapText="1"/>
    </xf>
    <xf numFmtId="0" fontId="19" fillId="0" borderId="16" xfId="2" applyFont="1" applyBorder="1" applyAlignment="1">
      <alignment horizontal="center" vertical="center" wrapText="1"/>
    </xf>
    <xf numFmtId="0" fontId="23" fillId="0" borderId="8" xfId="2" applyFont="1" applyBorder="1" applyAlignment="1">
      <alignment horizontal="center" vertical="center" wrapText="1"/>
    </xf>
    <xf numFmtId="0" fontId="28" fillId="0" borderId="0" xfId="2" applyFont="1" applyAlignment="1">
      <alignment horizontal="right" vertical="center"/>
    </xf>
    <xf numFmtId="165" fontId="28" fillId="0" borderId="0" xfId="2" applyNumberFormat="1" applyFont="1" applyAlignment="1">
      <alignment horizontal="left" vertical="center"/>
    </xf>
    <xf numFmtId="0" fontId="21" fillId="0" borderId="0" xfId="2" applyFont="1" applyAlignment="1">
      <alignment horizontal="center" vertical="top"/>
    </xf>
    <xf numFmtId="0" fontId="21" fillId="0" borderId="0" xfId="2" applyFont="1" applyAlignment="1">
      <alignment horizontal="center" vertical="center"/>
    </xf>
    <xf numFmtId="0" fontId="33" fillId="0" borderId="0" xfId="2" applyFont="1" applyAlignment="1">
      <alignment vertical="center"/>
    </xf>
    <xf numFmtId="0" fontId="36" fillId="0" borderId="0" xfId="2" applyFont="1" applyAlignment="1">
      <alignment horizontal="center" vertical="center"/>
    </xf>
    <xf numFmtId="0" fontId="5" fillId="0" borderId="0" xfId="2" applyAlignment="1">
      <alignment vertical="center"/>
    </xf>
    <xf numFmtId="0" fontId="4" fillId="0" borderId="0" xfId="16" applyFont="1" applyAlignment="1">
      <alignment horizontal="left" vertical="center" wrapText="1"/>
    </xf>
    <xf numFmtId="49" fontId="3" fillId="0" borderId="0" xfId="16" applyNumberFormat="1" applyFont="1" applyAlignment="1">
      <alignment horizontal="left" vertical="center" wrapText="1"/>
    </xf>
    <xf numFmtId="0" fontId="17" fillId="0" borderId="0" xfId="17" applyFont="1" applyAlignment="1">
      <alignment horizontal="left" vertical="center" wrapText="1"/>
    </xf>
    <xf numFmtId="0" fontId="11" fillId="0" borderId="0" xfId="16" applyFont="1" applyAlignment="1">
      <alignment horizontal="center" vertical="center" wrapText="1"/>
    </xf>
    <xf numFmtId="0" fontId="4" fillId="0" borderId="0" xfId="16" applyFont="1" applyAlignment="1">
      <alignment horizontal="left" vertical="center"/>
    </xf>
    <xf numFmtId="0" fontId="4" fillId="0" borderId="11" xfId="0" applyFont="1" applyBorder="1" applyAlignment="1">
      <alignment horizontal="left" vertical="top" wrapText="1"/>
    </xf>
    <xf numFmtId="0" fontId="4" fillId="0" borderId="10" xfId="0" applyFont="1" applyBorder="1" applyAlignment="1">
      <alignment horizontal="left" vertical="top" wrapText="1"/>
    </xf>
    <xf numFmtId="0" fontId="4" fillId="0" borderId="12" xfId="0" applyFont="1" applyBorder="1" applyAlignment="1">
      <alignment horizontal="left" vertical="top" wrapText="1"/>
    </xf>
    <xf numFmtId="0" fontId="4" fillId="0" borderId="3" xfId="1" applyFont="1" applyBorder="1" applyAlignment="1">
      <alignment horizontal="center" vertical="center" wrapText="1"/>
    </xf>
    <xf numFmtId="0" fontId="11" fillId="0" borderId="5" xfId="5" quotePrefix="1" applyFont="1" applyBorder="1" applyAlignment="1">
      <alignment horizontal="left" vertical="center" wrapText="1"/>
    </xf>
    <xf numFmtId="0" fontId="11" fillId="0" borderId="6" xfId="5" quotePrefix="1" applyFont="1" applyBorder="1" applyAlignment="1">
      <alignment horizontal="left" vertical="center" wrapText="1"/>
    </xf>
    <xf numFmtId="0" fontId="11" fillId="0" borderId="7" xfId="5" quotePrefix="1" applyFont="1" applyBorder="1" applyAlignment="1">
      <alignment horizontal="left" vertical="center" wrapText="1"/>
    </xf>
    <xf numFmtId="0" fontId="3" fillId="0" borderId="5" xfId="3" quotePrefix="1" applyFont="1" applyBorder="1" applyAlignment="1">
      <alignment horizontal="left" vertical="center" wrapText="1"/>
    </xf>
    <xf numFmtId="0" fontId="3" fillId="0" borderId="6" xfId="3" applyFont="1" applyBorder="1" applyAlignment="1">
      <alignment horizontal="left" vertical="center" wrapText="1"/>
    </xf>
    <xf numFmtId="0" fontId="3" fillId="0" borderId="7" xfId="3" applyFont="1" applyBorder="1" applyAlignment="1">
      <alignment horizontal="left" vertical="center" wrapText="1"/>
    </xf>
    <xf numFmtId="0" fontId="13" fillId="0" borderId="9" xfId="8" quotePrefix="1" applyFont="1" applyBorder="1" applyAlignment="1">
      <alignment horizontal="center" vertical="center" wrapText="1"/>
    </xf>
    <xf numFmtId="0" fontId="11" fillId="0" borderId="5" xfId="9" quotePrefix="1" applyFont="1" applyBorder="1" applyAlignment="1">
      <alignment horizontal="left" vertical="center" wrapText="1"/>
    </xf>
    <xf numFmtId="0" fontId="11" fillId="0" borderId="6" xfId="9" quotePrefix="1" applyFont="1" applyBorder="1" applyAlignment="1">
      <alignment horizontal="left" vertical="center" wrapText="1"/>
    </xf>
    <xf numFmtId="0" fontId="11" fillId="0" borderId="7" xfId="9" quotePrefix="1" applyFont="1" applyBorder="1" applyAlignment="1">
      <alignment horizontal="left" vertical="center" wrapText="1"/>
    </xf>
    <xf numFmtId="3" fontId="11" fillId="0" borderId="5" xfId="3" applyNumberFormat="1" applyFont="1" applyBorder="1" applyAlignment="1">
      <alignment horizontal="center" vertical="center" wrapText="1"/>
    </xf>
    <xf numFmtId="3" fontId="11" fillId="0" borderId="6" xfId="3" applyNumberFormat="1" applyFont="1" applyBorder="1" applyAlignment="1">
      <alignment horizontal="center" vertical="center" wrapText="1"/>
    </xf>
    <xf numFmtId="3" fontId="11" fillId="0" borderId="7" xfId="3" applyNumberFormat="1" applyFont="1" applyBorder="1" applyAlignment="1">
      <alignment horizontal="center" vertical="center" wrapText="1"/>
    </xf>
    <xf numFmtId="0" fontId="11" fillId="0" borderId="2" xfId="2" applyFont="1" applyBorder="1" applyAlignment="1">
      <alignment horizontal="center" vertical="center" wrapText="1"/>
    </xf>
    <xf numFmtId="0" fontId="11" fillId="0" borderId="4" xfId="2" applyFont="1" applyBorder="1" applyAlignment="1">
      <alignment horizontal="center" vertical="center" wrapText="1"/>
    </xf>
    <xf numFmtId="0" fontId="3" fillId="0" borderId="6" xfId="3" quotePrefix="1" applyFont="1" applyBorder="1" applyAlignment="1">
      <alignment horizontal="left" vertical="center" wrapText="1"/>
    </xf>
    <xf numFmtId="0" fontId="3" fillId="0" borderId="7" xfId="3" quotePrefix="1" applyFont="1" applyBorder="1" applyAlignment="1">
      <alignment horizontal="left" vertical="center" wrapText="1"/>
    </xf>
    <xf numFmtId="0" fontId="13" fillId="0" borderId="9" xfId="8" quotePrefix="1" applyFont="1" applyBorder="1" applyAlignment="1">
      <alignment horizontal="center" vertical="top" wrapText="1"/>
    </xf>
    <xf numFmtId="0" fontId="4" fillId="0" borderId="0" xfId="1" applyFont="1" applyBorder="1" applyAlignment="1">
      <alignment horizontal="center"/>
    </xf>
    <xf numFmtId="0" fontId="4" fillId="0" borderId="21" xfId="1" applyFont="1" applyBorder="1" applyAlignment="1">
      <alignment horizontal="center"/>
    </xf>
    <xf numFmtId="0" fontId="4" fillId="0" borderId="10" xfId="1" applyFont="1" applyBorder="1" applyAlignment="1">
      <alignment horizontal="center"/>
    </xf>
    <xf numFmtId="0" fontId="4" fillId="0" borderId="12" xfId="1" applyFont="1" applyBorder="1" applyAlignment="1">
      <alignment horizontal="center"/>
    </xf>
    <xf numFmtId="0" fontId="37" fillId="0" borderId="9" xfId="8" quotePrefix="1" applyFont="1" applyBorder="1" applyAlignment="1">
      <alignment horizontal="center"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4" fillId="0" borderId="25" xfId="1" applyFont="1" applyFill="1" applyBorder="1" applyAlignment="1">
      <alignment horizontal="center" vertical="center" wrapText="1"/>
    </xf>
    <xf numFmtId="0" fontId="4" fillId="0" borderId="10" xfId="1" applyFont="1" applyFill="1" applyBorder="1" applyAlignment="1">
      <alignment horizontal="center" vertical="center" wrapText="1"/>
    </xf>
    <xf numFmtId="4" fontId="11" fillId="0" borderId="25" xfId="6" applyNumberFormat="1" applyFont="1" applyBorder="1" applyAlignment="1">
      <alignment horizontal="center" vertical="center" wrapText="1"/>
    </xf>
    <xf numFmtId="4" fontId="11" fillId="0" borderId="26" xfId="6" applyNumberFormat="1" applyFont="1" applyBorder="1" applyAlignment="1">
      <alignment horizontal="center" vertical="center" wrapText="1"/>
    </xf>
    <xf numFmtId="4" fontId="11" fillId="0" borderId="27" xfId="6" applyNumberFormat="1" applyFont="1" applyBorder="1" applyAlignment="1">
      <alignment horizontal="center" vertical="center" wrapText="1"/>
    </xf>
    <xf numFmtId="4" fontId="11" fillId="0" borderId="28" xfId="6" applyNumberFormat="1" applyFont="1" applyBorder="1" applyAlignment="1">
      <alignment horizontal="center" vertical="center" wrapText="1"/>
    </xf>
    <xf numFmtId="4" fontId="11" fillId="0" borderId="29" xfId="6" applyNumberFormat="1" applyFont="1" applyBorder="1" applyAlignment="1">
      <alignment horizontal="center" vertical="center" wrapText="1"/>
    </xf>
    <xf numFmtId="4" fontId="11" fillId="0" borderId="30" xfId="6" applyNumberFormat="1" applyFont="1" applyBorder="1" applyAlignment="1">
      <alignment horizontal="center" vertical="center" wrapText="1"/>
    </xf>
    <xf numFmtId="0" fontId="37" fillId="0" borderId="22" xfId="8" quotePrefix="1" applyFont="1" applyBorder="1" applyAlignment="1">
      <alignment horizontal="center" vertical="center" wrapText="1"/>
    </xf>
    <xf numFmtId="0" fontId="37" fillId="0" borderId="23" xfId="8" quotePrefix="1" applyFont="1" applyBorder="1" applyAlignment="1">
      <alignment horizontal="center" vertical="center" wrapText="1"/>
    </xf>
    <xf numFmtId="0" fontId="37" fillId="0" borderId="24" xfId="8" quotePrefix="1" applyFont="1" applyBorder="1" applyAlignment="1">
      <alignment horizontal="center" vertical="center" wrapText="1"/>
    </xf>
    <xf numFmtId="0" fontId="4" fillId="0" borderId="3" xfId="1" applyFont="1" applyBorder="1" applyAlignment="1">
      <alignment horizontal="center"/>
    </xf>
    <xf numFmtId="0" fontId="4" fillId="0" borderId="8" xfId="1" applyFont="1" applyBorder="1" applyAlignment="1">
      <alignment horizontal="center"/>
    </xf>
    <xf numFmtId="0" fontId="4" fillId="0" borderId="2" xfId="0" quotePrefix="1" applyFont="1" applyBorder="1" applyAlignment="1">
      <alignment horizontal="left" vertical="top" wrapText="1"/>
    </xf>
    <xf numFmtId="0" fontId="4" fillId="0" borderId="3" xfId="0" quotePrefix="1" applyFont="1" applyBorder="1" applyAlignment="1">
      <alignment horizontal="left" vertical="top" wrapText="1"/>
    </xf>
    <xf numFmtId="0" fontId="4" fillId="0" borderId="8" xfId="0" quotePrefix="1" applyFont="1" applyBorder="1" applyAlignment="1">
      <alignment horizontal="left" vertical="top" wrapText="1"/>
    </xf>
    <xf numFmtId="0" fontId="4" fillId="0" borderId="18"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11" fillId="0" borderId="6" xfId="9" applyFont="1" applyBorder="1" applyAlignment="1">
      <alignment horizontal="left" vertical="center" wrapText="1"/>
    </xf>
    <xf numFmtId="0" fontId="11" fillId="0" borderId="7" xfId="9" applyFont="1" applyBorder="1" applyAlignment="1">
      <alignment horizontal="left" vertical="center" wrapText="1"/>
    </xf>
    <xf numFmtId="0" fontId="11" fillId="0" borderId="9" xfId="8" quotePrefix="1" applyFont="1" applyBorder="1" applyAlignment="1">
      <alignment horizontal="center" vertical="center" wrapText="1"/>
    </xf>
    <xf numFmtId="0" fontId="3" fillId="0" borderId="1" xfId="0" quotePrefix="1" applyFont="1" applyBorder="1" applyAlignment="1">
      <alignment horizontal="left" vertical="top" wrapText="1"/>
    </xf>
    <xf numFmtId="0" fontId="3" fillId="0" borderId="4" xfId="3" quotePrefix="1"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37" fillId="0" borderId="9" xfId="8" quotePrefix="1" applyFont="1" applyBorder="1" applyAlignment="1">
      <alignment horizontal="center" vertical="top" wrapText="1"/>
    </xf>
    <xf numFmtId="0" fontId="18" fillId="0" borderId="3" xfId="0" applyFont="1" applyBorder="1" applyAlignment="1">
      <alignment horizontal="center"/>
    </xf>
    <xf numFmtId="0" fontId="18" fillId="0" borderId="8" xfId="0" applyFont="1" applyBorder="1" applyAlignment="1">
      <alignment horizontal="center"/>
    </xf>
    <xf numFmtId="0" fontId="45" fillId="0" borderId="1" xfId="0" quotePrefix="1" applyFont="1" applyBorder="1" applyAlignment="1">
      <alignment horizontal="left" vertical="top" wrapText="1"/>
    </xf>
    <xf numFmtId="0" fontId="4" fillId="0" borderId="25" xfId="1" applyFont="1" applyBorder="1" applyAlignment="1">
      <alignment horizontal="center" vertical="center" wrapText="1"/>
    </xf>
    <xf numFmtId="0" fontId="4" fillId="0" borderId="10" xfId="1" applyFont="1" applyBorder="1" applyAlignment="1">
      <alignment horizontal="center"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11" fillId="0" borderId="10" xfId="0" applyFont="1" applyBorder="1" applyAlignment="1">
      <alignment horizontal="left" vertical="center" wrapText="1"/>
    </xf>
    <xf numFmtId="0" fontId="11" fillId="0" borderId="0" xfId="0" applyFont="1" applyAlignment="1">
      <alignment horizontal="left" vertical="center" wrapText="1"/>
    </xf>
    <xf numFmtId="0" fontId="11" fillId="0" borderId="19" xfId="0" applyFont="1" applyBorder="1" applyAlignment="1">
      <alignment horizontal="left" vertical="center"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11" fillId="0" borderId="30" xfId="0" applyFont="1" applyBorder="1" applyAlignment="1">
      <alignment horizontal="left" vertical="center" wrapText="1"/>
    </xf>
    <xf numFmtId="0" fontId="4" fillId="0" borderId="3" xfId="1" applyFont="1" applyBorder="1" applyAlignment="1">
      <alignment horizontal="center" wrapText="1"/>
    </xf>
    <xf numFmtId="0" fontId="4" fillId="0" borderId="8" xfId="1" applyFont="1" applyBorder="1" applyAlignment="1">
      <alignment horizontal="center" wrapText="1"/>
    </xf>
    <xf numFmtId="0" fontId="11" fillId="0" borderId="5" xfId="2" applyFont="1" applyBorder="1" applyAlignment="1">
      <alignment horizontal="left" vertical="center" wrapText="1"/>
    </xf>
    <xf numFmtId="0" fontId="11" fillId="0" borderId="6" xfId="2" applyFont="1" applyBorder="1" applyAlignment="1">
      <alignment horizontal="left" vertical="center" wrapText="1"/>
    </xf>
    <xf numFmtId="0" fontId="11" fillId="0" borderId="7" xfId="2" applyFont="1" applyBorder="1" applyAlignment="1">
      <alignment horizontal="left"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7" xfId="2" applyFont="1" applyBorder="1" applyAlignment="1">
      <alignment horizontal="center" vertical="center" wrapText="1"/>
    </xf>
    <xf numFmtId="0" fontId="11" fillId="0" borderId="18" xfId="5" applyFont="1" applyBorder="1" applyAlignment="1">
      <alignment horizontal="left" vertical="center" wrapText="1"/>
    </xf>
    <xf numFmtId="0" fontId="11" fillId="0" borderId="3" xfId="5" applyFont="1" applyBorder="1" applyAlignment="1">
      <alignment horizontal="left" vertical="center" wrapText="1"/>
    </xf>
    <xf numFmtId="0" fontId="11" fillId="0" borderId="8" xfId="5" applyFont="1" applyBorder="1" applyAlignment="1">
      <alignment horizontal="left" vertical="center" wrapText="1"/>
    </xf>
    <xf numFmtId="4" fontId="13" fillId="0" borderId="18" xfId="3" applyNumberFormat="1" applyFont="1" applyBorder="1" applyAlignment="1">
      <alignment horizontal="center" vertical="top"/>
    </xf>
    <xf numFmtId="4" fontId="13" fillId="0" borderId="3" xfId="3" applyNumberFormat="1" applyFont="1" applyBorder="1" applyAlignment="1">
      <alignment horizontal="center" vertical="top"/>
    </xf>
    <xf numFmtId="4" fontId="13" fillId="0" borderId="8" xfId="3" applyNumberFormat="1" applyFont="1" applyBorder="1" applyAlignment="1">
      <alignment horizontal="center" vertical="top"/>
    </xf>
    <xf numFmtId="0" fontId="13" fillId="0" borderId="25" xfId="8" quotePrefix="1" applyFont="1" applyBorder="1" applyAlignment="1">
      <alignment horizontal="center" vertical="center" wrapText="1"/>
    </xf>
    <xf numFmtId="0" fontId="13" fillId="0" borderId="26" xfId="8" quotePrefix="1" applyFont="1" applyBorder="1" applyAlignment="1">
      <alignment horizontal="center" vertical="center" wrapText="1"/>
    </xf>
    <xf numFmtId="0" fontId="13" fillId="0" borderId="27" xfId="8" quotePrefix="1" applyFont="1" applyBorder="1" applyAlignment="1">
      <alignment horizontal="center" vertical="center" wrapText="1"/>
    </xf>
    <xf numFmtId="0" fontId="13" fillId="0" borderId="10" xfId="8" quotePrefix="1" applyFont="1" applyBorder="1" applyAlignment="1">
      <alignment horizontal="center" vertical="center" wrapText="1"/>
    </xf>
    <xf numFmtId="0" fontId="13" fillId="0" borderId="0" xfId="8" quotePrefix="1" applyFont="1" applyBorder="1" applyAlignment="1">
      <alignment horizontal="center" vertical="center" wrapText="1"/>
    </xf>
    <xf numFmtId="0" fontId="13" fillId="0" borderId="19" xfId="8" quotePrefix="1" applyFont="1" applyBorder="1" applyAlignment="1">
      <alignment horizontal="center" vertical="center" wrapText="1"/>
    </xf>
    <xf numFmtId="0" fontId="13" fillId="0" borderId="12" xfId="8" quotePrefix="1" applyFont="1" applyBorder="1" applyAlignment="1">
      <alignment horizontal="center" vertical="center" wrapText="1"/>
    </xf>
    <xf numFmtId="0" fontId="13" fillId="0" borderId="21" xfId="8" quotePrefix="1" applyFont="1" applyBorder="1" applyAlignment="1">
      <alignment horizontal="center" vertical="center" wrapText="1"/>
    </xf>
    <xf numFmtId="0" fontId="13" fillId="0" borderId="32" xfId="8" quotePrefix="1" applyFont="1" applyBorder="1" applyAlignment="1">
      <alignment horizontal="center" vertical="center" wrapText="1"/>
    </xf>
    <xf numFmtId="3" fontId="47" fillId="0" borderId="5" xfId="3" applyNumberFormat="1" applyFont="1" applyBorder="1" applyAlignment="1">
      <alignment horizontal="left" vertical="center" wrapText="1"/>
    </xf>
    <xf numFmtId="3" fontId="47" fillId="0" borderId="6" xfId="3" applyNumberFormat="1" applyFont="1" applyBorder="1" applyAlignment="1">
      <alignment horizontal="left" vertical="center" wrapText="1"/>
    </xf>
    <xf numFmtId="3" fontId="47" fillId="0" borderId="7" xfId="3" applyNumberFormat="1" applyFont="1" applyBorder="1" applyAlignment="1">
      <alignment horizontal="left" vertical="center" wrapText="1"/>
    </xf>
    <xf numFmtId="0" fontId="45" fillId="0" borderId="2" xfId="0" quotePrefix="1" applyFont="1" applyBorder="1" applyAlignment="1">
      <alignment horizontal="left" vertical="top" wrapText="1"/>
    </xf>
    <xf numFmtId="0" fontId="45" fillId="0" borderId="3" xfId="0" quotePrefix="1" applyFont="1" applyBorder="1" applyAlignment="1">
      <alignment horizontal="left" vertical="top" wrapText="1"/>
    </xf>
    <xf numFmtId="0" fontId="45" fillId="0" borderId="8" xfId="0" quotePrefix="1" applyFont="1" applyBorder="1" applyAlignment="1">
      <alignment horizontal="left" vertical="top" wrapText="1"/>
    </xf>
    <xf numFmtId="0" fontId="13" fillId="0" borderId="4" xfId="8" quotePrefix="1" applyFont="1" applyBorder="1" applyAlignment="1">
      <alignment horizontal="center" vertical="center" wrapText="1"/>
    </xf>
    <xf numFmtId="0" fontId="11" fillId="0" borderId="4" xfId="5" quotePrefix="1" applyFont="1" applyBorder="1" applyAlignment="1">
      <alignment horizontal="left" vertical="center" wrapText="1"/>
    </xf>
    <xf numFmtId="3" fontId="47" fillId="0" borderId="4" xfId="3" applyNumberFormat="1" applyFont="1" applyBorder="1" applyAlignment="1">
      <alignment horizontal="left" vertical="center" wrapText="1"/>
    </xf>
    <xf numFmtId="0" fontId="17" fillId="0" borderId="2" xfId="0" applyFont="1" applyFill="1" applyBorder="1" applyAlignment="1">
      <alignment horizontal="left" vertical="top" wrapText="1"/>
    </xf>
    <xf numFmtId="0" fontId="17" fillId="0" borderId="3" xfId="0" applyFont="1" applyFill="1" applyBorder="1" applyAlignment="1">
      <alignment horizontal="left" vertical="top" wrapText="1"/>
    </xf>
    <xf numFmtId="0" fontId="17" fillId="0" borderId="8" xfId="0" applyFont="1" applyFill="1" applyBorder="1" applyAlignment="1">
      <alignment horizontal="left" vertical="top" wrapText="1"/>
    </xf>
    <xf numFmtId="0" fontId="14" fillId="0" borderId="4" xfId="8" quotePrefix="1" applyFont="1" applyBorder="1" applyAlignment="1">
      <alignment horizontal="center" vertical="center" wrapText="1"/>
    </xf>
    <xf numFmtId="0" fontId="0" fillId="0" borderId="3" xfId="0" applyBorder="1" applyAlignment="1">
      <alignment wrapText="1"/>
    </xf>
    <xf numFmtId="0" fontId="0" fillId="0" borderId="8" xfId="0" applyBorder="1" applyAlignment="1">
      <alignment wrapText="1"/>
    </xf>
    <xf numFmtId="0" fontId="4" fillId="0" borderId="3" xfId="2" applyFont="1" applyBorder="1" applyAlignment="1">
      <alignment horizontal="left" vertical="center" wrapText="1"/>
    </xf>
    <xf numFmtId="0" fontId="4" fillId="0" borderId="4" xfId="2" applyFont="1" applyBorder="1" applyAlignment="1">
      <alignment horizontal="center" vertical="center"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7" fillId="0" borderId="8" xfId="0" applyFont="1" applyBorder="1" applyAlignment="1">
      <alignment horizontal="left" vertical="top" wrapText="1"/>
    </xf>
    <xf numFmtId="0" fontId="11" fillId="0" borderId="5" xfId="2" applyFont="1" applyBorder="1" applyAlignment="1">
      <alignment horizontal="center" vertical="center"/>
    </xf>
    <xf numFmtId="0" fontId="11" fillId="0" borderId="6" xfId="2" applyFont="1" applyBorder="1" applyAlignment="1">
      <alignment horizontal="center" vertical="center"/>
    </xf>
    <xf numFmtId="0" fontId="11" fillId="0" borderId="7" xfId="2" applyFont="1" applyBorder="1" applyAlignment="1">
      <alignment horizontal="center" vertical="center"/>
    </xf>
  </cellXfs>
  <cellStyles count="18">
    <cellStyle name="Comma" xfId="15" builtinId="3"/>
    <cellStyle name="Comma 3" xfId="6"/>
    <cellStyle name="Normal" xfId="0" builtinId="0"/>
    <cellStyle name="Normal 14" xfId="16"/>
    <cellStyle name="Normal 2" xfId="8"/>
    <cellStyle name="Normal 2 2" xfId="10"/>
    <cellStyle name="Normal 2 2 2 2" xfId="4"/>
    <cellStyle name="Normal 2 3" xfId="14"/>
    <cellStyle name="Normal 3 2" xfId="1"/>
    <cellStyle name="Normal 4 3" xfId="2"/>
    <cellStyle name="Normal 4 3 2 2 3" xfId="17"/>
    <cellStyle name="Normal 5 2" xfId="13"/>
    <cellStyle name="Normal 5 3" xfId="5"/>
    <cellStyle name="Normal 6" xfId="11"/>
    <cellStyle name="Normal 8 2 2 2 4" xfId="12"/>
    <cellStyle name="Normal 8 3 2 2 2 3" xfId="9"/>
    <cellStyle name="Normal_Sheet1" xfId="3"/>
    <cellStyle name="Percent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339148</xdr:colOff>
      <xdr:row>2</xdr:row>
      <xdr:rowOff>43295</xdr:rowOff>
    </xdr:from>
    <xdr:to>
      <xdr:col>4</xdr:col>
      <xdr:colOff>0</xdr:colOff>
      <xdr:row>2</xdr:row>
      <xdr:rowOff>43295</xdr:rowOff>
    </xdr:to>
    <xdr:cxnSp macro="">
      <xdr:nvCxnSpPr>
        <xdr:cNvPr id="2" name="Straight Connector 1">
          <a:extLst>
            <a:ext uri="{FF2B5EF4-FFF2-40B4-BE49-F238E27FC236}">
              <a16:creationId xmlns:a16="http://schemas.microsoft.com/office/drawing/2014/main" id="{696725AB-8DD5-45ED-B641-6D29434BEC38}"/>
            </a:ext>
          </a:extLst>
        </xdr:cNvPr>
        <xdr:cNvCxnSpPr/>
      </xdr:nvCxnSpPr>
      <xdr:spPr>
        <a:xfrm>
          <a:off x="739198" y="633845"/>
          <a:ext cx="3651827"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222250</xdr:colOff>
      <xdr:row>2</xdr:row>
      <xdr:rowOff>15875</xdr:rowOff>
    </xdr:from>
    <xdr:to>
      <xdr:col>15</xdr:col>
      <xdr:colOff>582612</xdr:colOff>
      <xdr:row>2</xdr:row>
      <xdr:rowOff>15875</xdr:rowOff>
    </xdr:to>
    <xdr:cxnSp macro="">
      <xdr:nvCxnSpPr>
        <xdr:cNvPr id="3" name="Straight Connector 2">
          <a:extLst>
            <a:ext uri="{FF2B5EF4-FFF2-40B4-BE49-F238E27FC236}">
              <a16:creationId xmlns:a16="http://schemas.microsoft.com/office/drawing/2014/main" id="{B9FE9B91-7A45-4E09-95D1-8A6C2A940FC6}"/>
            </a:ext>
          </a:extLst>
        </xdr:cNvPr>
        <xdr:cNvCxnSpPr/>
      </xdr:nvCxnSpPr>
      <xdr:spPr>
        <a:xfrm>
          <a:off x="13547725" y="606425"/>
          <a:ext cx="2455862"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P61"/>
  <sheetViews>
    <sheetView zoomScale="70" zoomScaleNormal="70" workbookViewId="0">
      <selection activeCell="G9" sqref="G9"/>
    </sheetView>
  </sheetViews>
  <sheetFormatPr defaultRowHeight="15" x14ac:dyDescent="0.25"/>
  <cols>
    <col min="1" max="1" width="6" style="120" customWidth="1"/>
    <col min="2" max="2" width="21.140625" style="120" customWidth="1"/>
    <col min="3" max="3" width="25.42578125" style="120" customWidth="1"/>
    <col min="4" max="4" width="13.28515625" style="120" customWidth="1"/>
    <col min="5" max="5" width="14.7109375" style="120" customWidth="1"/>
    <col min="6" max="6" width="13.7109375" style="120" customWidth="1"/>
    <col min="7" max="7" width="11.42578125" style="120" customWidth="1"/>
    <col min="8" max="8" width="9.7109375" style="120" customWidth="1"/>
    <col min="9" max="9" width="14.42578125" style="120" customWidth="1"/>
    <col min="10" max="10" width="13.42578125" style="120" customWidth="1"/>
    <col min="11" max="11" width="20.7109375" style="120" customWidth="1"/>
    <col min="12" max="12" width="20.5703125" style="120" customWidth="1"/>
    <col min="13" max="13" width="18.7109375" style="120" customWidth="1"/>
    <col min="14" max="14" width="14.140625" style="120" customWidth="1"/>
    <col min="15" max="15" width="17.28515625" style="120" customWidth="1"/>
    <col min="16" max="16" width="17.140625" style="120" customWidth="1"/>
    <col min="17" max="17" width="16" style="120" customWidth="1"/>
    <col min="18" max="18" width="30.7109375" style="120" customWidth="1"/>
    <col min="19" max="250" width="9.140625" style="120"/>
    <col min="251" max="251" width="4.28515625" style="120" bestFit="1" customWidth="1"/>
    <col min="252" max="252" width="13.85546875" style="120" customWidth="1"/>
    <col min="253" max="253" width="28.140625" style="120" customWidth="1"/>
    <col min="254" max="254" width="29.140625" style="120" customWidth="1"/>
    <col min="255" max="255" width="11.7109375" style="120" customWidth="1"/>
    <col min="256" max="256" width="9.140625" style="120"/>
    <col min="257" max="257" width="13" style="120" customWidth="1"/>
    <col min="258" max="258" width="9.140625" style="120"/>
    <col min="259" max="260" width="11" style="120" customWidth="1"/>
    <col min="261" max="261" width="11.42578125" style="120" customWidth="1"/>
    <col min="262" max="263" width="9.140625" style="120"/>
    <col min="264" max="264" width="7.28515625" style="120" customWidth="1"/>
    <col min="265" max="265" width="9.7109375" style="120" customWidth="1"/>
    <col min="266" max="266" width="21.28515625" style="120" customWidth="1"/>
    <col min="267" max="267" width="22" style="120" customWidth="1"/>
    <col min="268" max="268" width="20.28515625" style="120" customWidth="1"/>
    <col min="269" max="269" width="12.28515625" style="120" customWidth="1"/>
    <col min="270" max="270" width="16.28515625" style="120" customWidth="1"/>
    <col min="271" max="271" width="15.42578125" style="120" customWidth="1"/>
    <col min="272" max="272" width="16" style="120" customWidth="1"/>
    <col min="273" max="273" width="32.7109375" style="120" customWidth="1"/>
    <col min="274" max="274" width="30.7109375" style="120" customWidth="1"/>
    <col min="275" max="506" width="9.140625" style="120"/>
    <col min="507" max="507" width="4.28515625" style="120" bestFit="1" customWidth="1"/>
    <col min="508" max="508" width="13.85546875" style="120" customWidth="1"/>
    <col min="509" max="509" width="28.140625" style="120" customWidth="1"/>
    <col min="510" max="510" width="29.140625" style="120" customWidth="1"/>
    <col min="511" max="511" width="11.7109375" style="120" customWidth="1"/>
    <col min="512" max="512" width="9.140625" style="120"/>
    <col min="513" max="513" width="13" style="120" customWidth="1"/>
    <col min="514" max="514" width="9.140625" style="120"/>
    <col min="515" max="516" width="11" style="120" customWidth="1"/>
    <col min="517" max="517" width="11.42578125" style="120" customWidth="1"/>
    <col min="518" max="519" width="9.140625" style="120"/>
    <col min="520" max="520" width="7.28515625" style="120" customWidth="1"/>
    <col min="521" max="521" width="9.7109375" style="120" customWidth="1"/>
    <col min="522" max="522" width="21.28515625" style="120" customWidth="1"/>
    <col min="523" max="523" width="22" style="120" customWidth="1"/>
    <col min="524" max="524" width="20.28515625" style="120" customWidth="1"/>
    <col min="525" max="525" width="12.28515625" style="120" customWidth="1"/>
    <col min="526" max="526" width="16.28515625" style="120" customWidth="1"/>
    <col min="527" max="527" width="15.42578125" style="120" customWidth="1"/>
    <col min="528" max="528" width="16" style="120" customWidth="1"/>
    <col min="529" max="529" width="32.7109375" style="120" customWidth="1"/>
    <col min="530" max="530" width="30.7109375" style="120" customWidth="1"/>
    <col min="531" max="762" width="9.140625" style="120"/>
    <col min="763" max="763" width="4.28515625" style="120" bestFit="1" customWidth="1"/>
    <col min="764" max="764" width="13.85546875" style="120" customWidth="1"/>
    <col min="765" max="765" width="28.140625" style="120" customWidth="1"/>
    <col min="766" max="766" width="29.140625" style="120" customWidth="1"/>
    <col min="767" max="767" width="11.7109375" style="120" customWidth="1"/>
    <col min="768" max="768" width="9.140625" style="120"/>
    <col min="769" max="769" width="13" style="120" customWidth="1"/>
    <col min="770" max="770" width="9.140625" style="120"/>
    <col min="771" max="772" width="11" style="120" customWidth="1"/>
    <col min="773" max="773" width="11.42578125" style="120" customWidth="1"/>
    <col min="774" max="775" width="9.140625" style="120"/>
    <col min="776" max="776" width="7.28515625" style="120" customWidth="1"/>
    <col min="777" max="777" width="9.7109375" style="120" customWidth="1"/>
    <col min="778" max="778" width="21.28515625" style="120" customWidth="1"/>
    <col min="779" max="779" width="22" style="120" customWidth="1"/>
    <col min="780" max="780" width="20.28515625" style="120" customWidth="1"/>
    <col min="781" max="781" width="12.28515625" style="120" customWidth="1"/>
    <col min="782" max="782" width="16.28515625" style="120" customWidth="1"/>
    <col min="783" max="783" width="15.42578125" style="120" customWidth="1"/>
    <col min="784" max="784" width="16" style="120" customWidth="1"/>
    <col min="785" max="785" width="32.7109375" style="120" customWidth="1"/>
    <col min="786" max="786" width="30.7109375" style="120" customWidth="1"/>
    <col min="787" max="1018" width="9.140625" style="120"/>
    <col min="1019" max="1019" width="4.28515625" style="120" bestFit="1" customWidth="1"/>
    <col min="1020" max="1020" width="13.85546875" style="120" customWidth="1"/>
    <col min="1021" max="1021" width="28.140625" style="120" customWidth="1"/>
    <col min="1022" max="1022" width="29.140625" style="120" customWidth="1"/>
    <col min="1023" max="1023" width="11.7109375" style="120" customWidth="1"/>
    <col min="1024" max="1024" width="9.140625" style="120"/>
    <col min="1025" max="1025" width="13" style="120" customWidth="1"/>
    <col min="1026" max="1026" width="9.140625" style="120"/>
    <col min="1027" max="1028" width="11" style="120" customWidth="1"/>
    <col min="1029" max="1029" width="11.42578125" style="120" customWidth="1"/>
    <col min="1030" max="1031" width="9.140625" style="120"/>
    <col min="1032" max="1032" width="7.28515625" style="120" customWidth="1"/>
    <col min="1033" max="1033" width="9.7109375" style="120" customWidth="1"/>
    <col min="1034" max="1034" width="21.28515625" style="120" customWidth="1"/>
    <col min="1035" max="1035" width="22" style="120" customWidth="1"/>
    <col min="1036" max="1036" width="20.28515625" style="120" customWidth="1"/>
    <col min="1037" max="1037" width="12.28515625" style="120" customWidth="1"/>
    <col min="1038" max="1038" width="16.28515625" style="120" customWidth="1"/>
    <col min="1039" max="1039" width="15.42578125" style="120" customWidth="1"/>
    <col min="1040" max="1040" width="16" style="120" customWidth="1"/>
    <col min="1041" max="1041" width="32.7109375" style="120" customWidth="1"/>
    <col min="1042" max="1042" width="30.7109375" style="120" customWidth="1"/>
    <col min="1043" max="1274" width="9.140625" style="120"/>
    <col min="1275" max="1275" width="4.28515625" style="120" bestFit="1" customWidth="1"/>
    <col min="1276" max="1276" width="13.85546875" style="120" customWidth="1"/>
    <col min="1277" max="1277" width="28.140625" style="120" customWidth="1"/>
    <col min="1278" max="1278" width="29.140625" style="120" customWidth="1"/>
    <col min="1279" max="1279" width="11.7109375" style="120" customWidth="1"/>
    <col min="1280" max="1280" width="9.140625" style="120"/>
    <col min="1281" max="1281" width="13" style="120" customWidth="1"/>
    <col min="1282" max="1282" width="9.140625" style="120"/>
    <col min="1283" max="1284" width="11" style="120" customWidth="1"/>
    <col min="1285" max="1285" width="11.42578125" style="120" customWidth="1"/>
    <col min="1286" max="1287" width="9.140625" style="120"/>
    <col min="1288" max="1288" width="7.28515625" style="120" customWidth="1"/>
    <col min="1289" max="1289" width="9.7109375" style="120" customWidth="1"/>
    <col min="1290" max="1290" width="21.28515625" style="120" customWidth="1"/>
    <col min="1291" max="1291" width="22" style="120" customWidth="1"/>
    <col min="1292" max="1292" width="20.28515625" style="120" customWidth="1"/>
    <col min="1293" max="1293" width="12.28515625" style="120" customWidth="1"/>
    <col min="1294" max="1294" width="16.28515625" style="120" customWidth="1"/>
    <col min="1295" max="1295" width="15.42578125" style="120" customWidth="1"/>
    <col min="1296" max="1296" width="16" style="120" customWidth="1"/>
    <col min="1297" max="1297" width="32.7109375" style="120" customWidth="1"/>
    <col min="1298" max="1298" width="30.7109375" style="120" customWidth="1"/>
    <col min="1299" max="1530" width="9.140625" style="120"/>
    <col min="1531" max="1531" width="4.28515625" style="120" bestFit="1" customWidth="1"/>
    <col min="1532" max="1532" width="13.85546875" style="120" customWidth="1"/>
    <col min="1533" max="1533" width="28.140625" style="120" customWidth="1"/>
    <col min="1534" max="1534" width="29.140625" style="120" customWidth="1"/>
    <col min="1535" max="1535" width="11.7109375" style="120" customWidth="1"/>
    <col min="1536" max="1536" width="9.140625" style="120"/>
    <col min="1537" max="1537" width="13" style="120" customWidth="1"/>
    <col min="1538" max="1538" width="9.140625" style="120"/>
    <col min="1539" max="1540" width="11" style="120" customWidth="1"/>
    <col min="1541" max="1541" width="11.42578125" style="120" customWidth="1"/>
    <col min="1542" max="1543" width="9.140625" style="120"/>
    <col min="1544" max="1544" width="7.28515625" style="120" customWidth="1"/>
    <col min="1545" max="1545" width="9.7109375" style="120" customWidth="1"/>
    <col min="1546" max="1546" width="21.28515625" style="120" customWidth="1"/>
    <col min="1547" max="1547" width="22" style="120" customWidth="1"/>
    <col min="1548" max="1548" width="20.28515625" style="120" customWidth="1"/>
    <col min="1549" max="1549" width="12.28515625" style="120" customWidth="1"/>
    <col min="1550" max="1550" width="16.28515625" style="120" customWidth="1"/>
    <col min="1551" max="1551" width="15.42578125" style="120" customWidth="1"/>
    <col min="1552" max="1552" width="16" style="120" customWidth="1"/>
    <col min="1553" max="1553" width="32.7109375" style="120" customWidth="1"/>
    <col min="1554" max="1554" width="30.7109375" style="120" customWidth="1"/>
    <col min="1555" max="1786" width="9.140625" style="120"/>
    <col min="1787" max="1787" width="4.28515625" style="120" bestFit="1" customWidth="1"/>
    <col min="1788" max="1788" width="13.85546875" style="120" customWidth="1"/>
    <col min="1789" max="1789" width="28.140625" style="120" customWidth="1"/>
    <col min="1790" max="1790" width="29.140625" style="120" customWidth="1"/>
    <col min="1791" max="1791" width="11.7109375" style="120" customWidth="1"/>
    <col min="1792" max="1792" width="9.140625" style="120"/>
    <col min="1793" max="1793" width="13" style="120" customWidth="1"/>
    <col min="1794" max="1794" width="9.140625" style="120"/>
    <col min="1795" max="1796" width="11" style="120" customWidth="1"/>
    <col min="1797" max="1797" width="11.42578125" style="120" customWidth="1"/>
    <col min="1798" max="1799" width="9.140625" style="120"/>
    <col min="1800" max="1800" width="7.28515625" style="120" customWidth="1"/>
    <col min="1801" max="1801" width="9.7109375" style="120" customWidth="1"/>
    <col min="1802" max="1802" width="21.28515625" style="120" customWidth="1"/>
    <col min="1803" max="1803" width="22" style="120" customWidth="1"/>
    <col min="1804" max="1804" width="20.28515625" style="120" customWidth="1"/>
    <col min="1805" max="1805" width="12.28515625" style="120" customWidth="1"/>
    <col min="1806" max="1806" width="16.28515625" style="120" customWidth="1"/>
    <col min="1807" max="1807" width="15.42578125" style="120" customWidth="1"/>
    <col min="1808" max="1808" width="16" style="120" customWidth="1"/>
    <col min="1809" max="1809" width="32.7109375" style="120" customWidth="1"/>
    <col min="1810" max="1810" width="30.7109375" style="120" customWidth="1"/>
    <col min="1811" max="2042" width="9.140625" style="120"/>
    <col min="2043" max="2043" width="4.28515625" style="120" bestFit="1" customWidth="1"/>
    <col min="2044" max="2044" width="13.85546875" style="120" customWidth="1"/>
    <col min="2045" max="2045" width="28.140625" style="120" customWidth="1"/>
    <col min="2046" max="2046" width="29.140625" style="120" customWidth="1"/>
    <col min="2047" max="2047" width="11.7109375" style="120" customWidth="1"/>
    <col min="2048" max="2048" width="9.140625" style="120"/>
    <col min="2049" max="2049" width="13" style="120" customWidth="1"/>
    <col min="2050" max="2050" width="9.140625" style="120"/>
    <col min="2051" max="2052" width="11" style="120" customWidth="1"/>
    <col min="2053" max="2053" width="11.42578125" style="120" customWidth="1"/>
    <col min="2054" max="2055" width="9.140625" style="120"/>
    <col min="2056" max="2056" width="7.28515625" style="120" customWidth="1"/>
    <col min="2057" max="2057" width="9.7109375" style="120" customWidth="1"/>
    <col min="2058" max="2058" width="21.28515625" style="120" customWidth="1"/>
    <col min="2059" max="2059" width="22" style="120" customWidth="1"/>
    <col min="2060" max="2060" width="20.28515625" style="120" customWidth="1"/>
    <col min="2061" max="2061" width="12.28515625" style="120" customWidth="1"/>
    <col min="2062" max="2062" width="16.28515625" style="120" customWidth="1"/>
    <col min="2063" max="2063" width="15.42578125" style="120" customWidth="1"/>
    <col min="2064" max="2064" width="16" style="120" customWidth="1"/>
    <col min="2065" max="2065" width="32.7109375" style="120" customWidth="1"/>
    <col min="2066" max="2066" width="30.7109375" style="120" customWidth="1"/>
    <col min="2067" max="2298" width="9.140625" style="120"/>
    <col min="2299" max="2299" width="4.28515625" style="120" bestFit="1" customWidth="1"/>
    <col min="2300" max="2300" width="13.85546875" style="120" customWidth="1"/>
    <col min="2301" max="2301" width="28.140625" style="120" customWidth="1"/>
    <col min="2302" max="2302" width="29.140625" style="120" customWidth="1"/>
    <col min="2303" max="2303" width="11.7109375" style="120" customWidth="1"/>
    <col min="2304" max="2304" width="9.140625" style="120"/>
    <col min="2305" max="2305" width="13" style="120" customWidth="1"/>
    <col min="2306" max="2306" width="9.140625" style="120"/>
    <col min="2307" max="2308" width="11" style="120" customWidth="1"/>
    <col min="2309" max="2309" width="11.42578125" style="120" customWidth="1"/>
    <col min="2310" max="2311" width="9.140625" style="120"/>
    <col min="2312" max="2312" width="7.28515625" style="120" customWidth="1"/>
    <col min="2313" max="2313" width="9.7109375" style="120" customWidth="1"/>
    <col min="2314" max="2314" width="21.28515625" style="120" customWidth="1"/>
    <col min="2315" max="2315" width="22" style="120" customWidth="1"/>
    <col min="2316" max="2316" width="20.28515625" style="120" customWidth="1"/>
    <col min="2317" max="2317" width="12.28515625" style="120" customWidth="1"/>
    <col min="2318" max="2318" width="16.28515625" style="120" customWidth="1"/>
    <col min="2319" max="2319" width="15.42578125" style="120" customWidth="1"/>
    <col min="2320" max="2320" width="16" style="120" customWidth="1"/>
    <col min="2321" max="2321" width="32.7109375" style="120" customWidth="1"/>
    <col min="2322" max="2322" width="30.7109375" style="120" customWidth="1"/>
    <col min="2323" max="2554" width="9.140625" style="120"/>
    <col min="2555" max="2555" width="4.28515625" style="120" bestFit="1" customWidth="1"/>
    <col min="2556" max="2556" width="13.85546875" style="120" customWidth="1"/>
    <col min="2557" max="2557" width="28.140625" style="120" customWidth="1"/>
    <col min="2558" max="2558" width="29.140625" style="120" customWidth="1"/>
    <col min="2559" max="2559" width="11.7109375" style="120" customWidth="1"/>
    <col min="2560" max="2560" width="9.140625" style="120"/>
    <col min="2561" max="2561" width="13" style="120" customWidth="1"/>
    <col min="2562" max="2562" width="9.140625" style="120"/>
    <col min="2563" max="2564" width="11" style="120" customWidth="1"/>
    <col min="2565" max="2565" width="11.42578125" style="120" customWidth="1"/>
    <col min="2566" max="2567" width="9.140625" style="120"/>
    <col min="2568" max="2568" width="7.28515625" style="120" customWidth="1"/>
    <col min="2569" max="2569" width="9.7109375" style="120" customWidth="1"/>
    <col min="2570" max="2570" width="21.28515625" style="120" customWidth="1"/>
    <col min="2571" max="2571" width="22" style="120" customWidth="1"/>
    <col min="2572" max="2572" width="20.28515625" style="120" customWidth="1"/>
    <col min="2573" max="2573" width="12.28515625" style="120" customWidth="1"/>
    <col min="2574" max="2574" width="16.28515625" style="120" customWidth="1"/>
    <col min="2575" max="2575" width="15.42578125" style="120" customWidth="1"/>
    <col min="2576" max="2576" width="16" style="120" customWidth="1"/>
    <col min="2577" max="2577" width="32.7109375" style="120" customWidth="1"/>
    <col min="2578" max="2578" width="30.7109375" style="120" customWidth="1"/>
    <col min="2579" max="2810" width="9.140625" style="120"/>
    <col min="2811" max="2811" width="4.28515625" style="120" bestFit="1" customWidth="1"/>
    <col min="2812" max="2812" width="13.85546875" style="120" customWidth="1"/>
    <col min="2813" max="2813" width="28.140625" style="120" customWidth="1"/>
    <col min="2814" max="2814" width="29.140625" style="120" customWidth="1"/>
    <col min="2815" max="2815" width="11.7109375" style="120" customWidth="1"/>
    <col min="2816" max="2816" width="9.140625" style="120"/>
    <col min="2817" max="2817" width="13" style="120" customWidth="1"/>
    <col min="2818" max="2818" width="9.140625" style="120"/>
    <col min="2819" max="2820" width="11" style="120" customWidth="1"/>
    <col min="2821" max="2821" width="11.42578125" style="120" customWidth="1"/>
    <col min="2822" max="2823" width="9.140625" style="120"/>
    <col min="2824" max="2824" width="7.28515625" style="120" customWidth="1"/>
    <col min="2825" max="2825" width="9.7109375" style="120" customWidth="1"/>
    <col min="2826" max="2826" width="21.28515625" style="120" customWidth="1"/>
    <col min="2827" max="2827" width="22" style="120" customWidth="1"/>
    <col min="2828" max="2828" width="20.28515625" style="120" customWidth="1"/>
    <col min="2829" max="2829" width="12.28515625" style="120" customWidth="1"/>
    <col min="2830" max="2830" width="16.28515625" style="120" customWidth="1"/>
    <col min="2831" max="2831" width="15.42578125" style="120" customWidth="1"/>
    <col min="2832" max="2832" width="16" style="120" customWidth="1"/>
    <col min="2833" max="2833" width="32.7109375" style="120" customWidth="1"/>
    <col min="2834" max="2834" width="30.7109375" style="120" customWidth="1"/>
    <col min="2835" max="3066" width="9.140625" style="120"/>
    <col min="3067" max="3067" width="4.28515625" style="120" bestFit="1" customWidth="1"/>
    <col min="3068" max="3068" width="13.85546875" style="120" customWidth="1"/>
    <col min="3069" max="3069" width="28.140625" style="120" customWidth="1"/>
    <col min="3070" max="3070" width="29.140625" style="120" customWidth="1"/>
    <col min="3071" max="3071" width="11.7109375" style="120" customWidth="1"/>
    <col min="3072" max="3072" width="9.140625" style="120"/>
    <col min="3073" max="3073" width="13" style="120" customWidth="1"/>
    <col min="3074" max="3074" width="9.140625" style="120"/>
    <col min="3075" max="3076" width="11" style="120" customWidth="1"/>
    <col min="3077" max="3077" width="11.42578125" style="120" customWidth="1"/>
    <col min="3078" max="3079" width="9.140625" style="120"/>
    <col min="3080" max="3080" width="7.28515625" style="120" customWidth="1"/>
    <col min="3081" max="3081" width="9.7109375" style="120" customWidth="1"/>
    <col min="3082" max="3082" width="21.28515625" style="120" customWidth="1"/>
    <col min="3083" max="3083" width="22" style="120" customWidth="1"/>
    <col min="3084" max="3084" width="20.28515625" style="120" customWidth="1"/>
    <col min="3085" max="3085" width="12.28515625" style="120" customWidth="1"/>
    <col min="3086" max="3086" width="16.28515625" style="120" customWidth="1"/>
    <col min="3087" max="3087" width="15.42578125" style="120" customWidth="1"/>
    <col min="3088" max="3088" width="16" style="120" customWidth="1"/>
    <col min="3089" max="3089" width="32.7109375" style="120" customWidth="1"/>
    <col min="3090" max="3090" width="30.7109375" style="120" customWidth="1"/>
    <col min="3091" max="3322" width="9.140625" style="120"/>
    <col min="3323" max="3323" width="4.28515625" style="120" bestFit="1" customWidth="1"/>
    <col min="3324" max="3324" width="13.85546875" style="120" customWidth="1"/>
    <col min="3325" max="3325" width="28.140625" style="120" customWidth="1"/>
    <col min="3326" max="3326" width="29.140625" style="120" customWidth="1"/>
    <col min="3327" max="3327" width="11.7109375" style="120" customWidth="1"/>
    <col min="3328" max="3328" width="9.140625" style="120"/>
    <col min="3329" max="3329" width="13" style="120" customWidth="1"/>
    <col min="3330" max="3330" width="9.140625" style="120"/>
    <col min="3331" max="3332" width="11" style="120" customWidth="1"/>
    <col min="3333" max="3333" width="11.42578125" style="120" customWidth="1"/>
    <col min="3334" max="3335" width="9.140625" style="120"/>
    <col min="3336" max="3336" width="7.28515625" style="120" customWidth="1"/>
    <col min="3337" max="3337" width="9.7109375" style="120" customWidth="1"/>
    <col min="3338" max="3338" width="21.28515625" style="120" customWidth="1"/>
    <col min="3339" max="3339" width="22" style="120" customWidth="1"/>
    <col min="3340" max="3340" width="20.28515625" style="120" customWidth="1"/>
    <col min="3341" max="3341" width="12.28515625" style="120" customWidth="1"/>
    <col min="3342" max="3342" width="16.28515625" style="120" customWidth="1"/>
    <col min="3343" max="3343" width="15.42578125" style="120" customWidth="1"/>
    <col min="3344" max="3344" width="16" style="120" customWidth="1"/>
    <col min="3345" max="3345" width="32.7109375" style="120" customWidth="1"/>
    <col min="3346" max="3346" width="30.7109375" style="120" customWidth="1"/>
    <col min="3347" max="3578" width="9.140625" style="120"/>
    <col min="3579" max="3579" width="4.28515625" style="120" bestFit="1" customWidth="1"/>
    <col min="3580" max="3580" width="13.85546875" style="120" customWidth="1"/>
    <col min="3581" max="3581" width="28.140625" style="120" customWidth="1"/>
    <col min="3582" max="3582" width="29.140625" style="120" customWidth="1"/>
    <col min="3583" max="3583" width="11.7109375" style="120" customWidth="1"/>
    <col min="3584" max="3584" width="9.140625" style="120"/>
    <col min="3585" max="3585" width="13" style="120" customWidth="1"/>
    <col min="3586" max="3586" width="9.140625" style="120"/>
    <col min="3587" max="3588" width="11" style="120" customWidth="1"/>
    <col min="3589" max="3589" width="11.42578125" style="120" customWidth="1"/>
    <col min="3590" max="3591" width="9.140625" style="120"/>
    <col min="3592" max="3592" width="7.28515625" style="120" customWidth="1"/>
    <col min="3593" max="3593" width="9.7109375" style="120" customWidth="1"/>
    <col min="3594" max="3594" width="21.28515625" style="120" customWidth="1"/>
    <col min="3595" max="3595" width="22" style="120" customWidth="1"/>
    <col min="3596" max="3596" width="20.28515625" style="120" customWidth="1"/>
    <col min="3597" max="3597" width="12.28515625" style="120" customWidth="1"/>
    <col min="3598" max="3598" width="16.28515625" style="120" customWidth="1"/>
    <col min="3599" max="3599" width="15.42578125" style="120" customWidth="1"/>
    <col min="3600" max="3600" width="16" style="120" customWidth="1"/>
    <col min="3601" max="3601" width="32.7109375" style="120" customWidth="1"/>
    <col min="3602" max="3602" width="30.7109375" style="120" customWidth="1"/>
    <col min="3603" max="3834" width="9.140625" style="120"/>
    <col min="3835" max="3835" width="4.28515625" style="120" bestFit="1" customWidth="1"/>
    <col min="3836" max="3836" width="13.85546875" style="120" customWidth="1"/>
    <col min="3837" max="3837" width="28.140625" style="120" customWidth="1"/>
    <col min="3838" max="3838" width="29.140625" style="120" customWidth="1"/>
    <col min="3839" max="3839" width="11.7109375" style="120" customWidth="1"/>
    <col min="3840" max="3840" width="9.140625" style="120"/>
    <col min="3841" max="3841" width="13" style="120" customWidth="1"/>
    <col min="3842" max="3842" width="9.140625" style="120"/>
    <col min="3843" max="3844" width="11" style="120" customWidth="1"/>
    <col min="3845" max="3845" width="11.42578125" style="120" customWidth="1"/>
    <col min="3846" max="3847" width="9.140625" style="120"/>
    <col min="3848" max="3848" width="7.28515625" style="120" customWidth="1"/>
    <col min="3849" max="3849" width="9.7109375" style="120" customWidth="1"/>
    <col min="3850" max="3850" width="21.28515625" style="120" customWidth="1"/>
    <col min="3851" max="3851" width="22" style="120" customWidth="1"/>
    <col min="3852" max="3852" width="20.28515625" style="120" customWidth="1"/>
    <col min="3853" max="3853" width="12.28515625" style="120" customWidth="1"/>
    <col min="3854" max="3854" width="16.28515625" style="120" customWidth="1"/>
    <col min="3855" max="3855" width="15.42578125" style="120" customWidth="1"/>
    <col min="3856" max="3856" width="16" style="120" customWidth="1"/>
    <col min="3857" max="3857" width="32.7109375" style="120" customWidth="1"/>
    <col min="3858" max="3858" width="30.7109375" style="120" customWidth="1"/>
    <col min="3859" max="4090" width="9.140625" style="120"/>
    <col min="4091" max="4091" width="4.28515625" style="120" bestFit="1" customWidth="1"/>
    <col min="4092" max="4092" width="13.85546875" style="120" customWidth="1"/>
    <col min="4093" max="4093" width="28.140625" style="120" customWidth="1"/>
    <col min="4094" max="4094" width="29.140625" style="120" customWidth="1"/>
    <col min="4095" max="4095" width="11.7109375" style="120" customWidth="1"/>
    <col min="4096" max="4096" width="9.140625" style="120"/>
    <col min="4097" max="4097" width="13" style="120" customWidth="1"/>
    <col min="4098" max="4098" width="9.140625" style="120"/>
    <col min="4099" max="4100" width="11" style="120" customWidth="1"/>
    <col min="4101" max="4101" width="11.42578125" style="120" customWidth="1"/>
    <col min="4102" max="4103" width="9.140625" style="120"/>
    <col min="4104" max="4104" width="7.28515625" style="120" customWidth="1"/>
    <col min="4105" max="4105" width="9.7109375" style="120" customWidth="1"/>
    <col min="4106" max="4106" width="21.28515625" style="120" customWidth="1"/>
    <col min="4107" max="4107" width="22" style="120" customWidth="1"/>
    <col min="4108" max="4108" width="20.28515625" style="120" customWidth="1"/>
    <col min="4109" max="4109" width="12.28515625" style="120" customWidth="1"/>
    <col min="4110" max="4110" width="16.28515625" style="120" customWidth="1"/>
    <col min="4111" max="4111" width="15.42578125" style="120" customWidth="1"/>
    <col min="4112" max="4112" width="16" style="120" customWidth="1"/>
    <col min="4113" max="4113" width="32.7109375" style="120" customWidth="1"/>
    <col min="4114" max="4114" width="30.7109375" style="120" customWidth="1"/>
    <col min="4115" max="4346" width="9.140625" style="120"/>
    <col min="4347" max="4347" width="4.28515625" style="120" bestFit="1" customWidth="1"/>
    <col min="4348" max="4348" width="13.85546875" style="120" customWidth="1"/>
    <col min="4349" max="4349" width="28.140625" style="120" customWidth="1"/>
    <col min="4350" max="4350" width="29.140625" style="120" customWidth="1"/>
    <col min="4351" max="4351" width="11.7109375" style="120" customWidth="1"/>
    <col min="4352" max="4352" width="9.140625" style="120"/>
    <col min="4353" max="4353" width="13" style="120" customWidth="1"/>
    <col min="4354" max="4354" width="9.140625" style="120"/>
    <col min="4355" max="4356" width="11" style="120" customWidth="1"/>
    <col min="4357" max="4357" width="11.42578125" style="120" customWidth="1"/>
    <col min="4358" max="4359" width="9.140625" style="120"/>
    <col min="4360" max="4360" width="7.28515625" style="120" customWidth="1"/>
    <col min="4361" max="4361" width="9.7109375" style="120" customWidth="1"/>
    <col min="4362" max="4362" width="21.28515625" style="120" customWidth="1"/>
    <col min="4363" max="4363" width="22" style="120" customWidth="1"/>
    <col min="4364" max="4364" width="20.28515625" style="120" customWidth="1"/>
    <col min="4365" max="4365" width="12.28515625" style="120" customWidth="1"/>
    <col min="4366" max="4366" width="16.28515625" style="120" customWidth="1"/>
    <col min="4367" max="4367" width="15.42578125" style="120" customWidth="1"/>
    <col min="4368" max="4368" width="16" style="120" customWidth="1"/>
    <col min="4369" max="4369" width="32.7109375" style="120" customWidth="1"/>
    <col min="4370" max="4370" width="30.7109375" style="120" customWidth="1"/>
    <col min="4371" max="4602" width="9.140625" style="120"/>
    <col min="4603" max="4603" width="4.28515625" style="120" bestFit="1" customWidth="1"/>
    <col min="4604" max="4604" width="13.85546875" style="120" customWidth="1"/>
    <col min="4605" max="4605" width="28.140625" style="120" customWidth="1"/>
    <col min="4606" max="4606" width="29.140625" style="120" customWidth="1"/>
    <col min="4607" max="4607" width="11.7109375" style="120" customWidth="1"/>
    <col min="4608" max="4608" width="9.140625" style="120"/>
    <col min="4609" max="4609" width="13" style="120" customWidth="1"/>
    <col min="4610" max="4610" width="9.140625" style="120"/>
    <col min="4611" max="4612" width="11" style="120" customWidth="1"/>
    <col min="4613" max="4613" width="11.42578125" style="120" customWidth="1"/>
    <col min="4614" max="4615" width="9.140625" style="120"/>
    <col min="4616" max="4616" width="7.28515625" style="120" customWidth="1"/>
    <col min="4617" max="4617" width="9.7109375" style="120" customWidth="1"/>
    <col min="4618" max="4618" width="21.28515625" style="120" customWidth="1"/>
    <col min="4619" max="4619" width="22" style="120" customWidth="1"/>
    <col min="4620" max="4620" width="20.28515625" style="120" customWidth="1"/>
    <col min="4621" max="4621" width="12.28515625" style="120" customWidth="1"/>
    <col min="4622" max="4622" width="16.28515625" style="120" customWidth="1"/>
    <col min="4623" max="4623" width="15.42578125" style="120" customWidth="1"/>
    <col min="4624" max="4624" width="16" style="120" customWidth="1"/>
    <col min="4625" max="4625" width="32.7109375" style="120" customWidth="1"/>
    <col min="4626" max="4626" width="30.7109375" style="120" customWidth="1"/>
    <col min="4627" max="4858" width="9.140625" style="120"/>
    <col min="4859" max="4859" width="4.28515625" style="120" bestFit="1" customWidth="1"/>
    <col min="4860" max="4860" width="13.85546875" style="120" customWidth="1"/>
    <col min="4861" max="4861" width="28.140625" style="120" customWidth="1"/>
    <col min="4862" max="4862" width="29.140625" style="120" customWidth="1"/>
    <col min="4863" max="4863" width="11.7109375" style="120" customWidth="1"/>
    <col min="4864" max="4864" width="9.140625" style="120"/>
    <col min="4865" max="4865" width="13" style="120" customWidth="1"/>
    <col min="4866" max="4866" width="9.140625" style="120"/>
    <col min="4867" max="4868" width="11" style="120" customWidth="1"/>
    <col min="4869" max="4869" width="11.42578125" style="120" customWidth="1"/>
    <col min="4870" max="4871" width="9.140625" style="120"/>
    <col min="4872" max="4872" width="7.28515625" style="120" customWidth="1"/>
    <col min="4873" max="4873" width="9.7109375" style="120" customWidth="1"/>
    <col min="4874" max="4874" width="21.28515625" style="120" customWidth="1"/>
    <col min="4875" max="4875" width="22" style="120" customWidth="1"/>
    <col min="4876" max="4876" width="20.28515625" style="120" customWidth="1"/>
    <col min="4877" max="4877" width="12.28515625" style="120" customWidth="1"/>
    <col min="4878" max="4878" width="16.28515625" style="120" customWidth="1"/>
    <col min="4879" max="4879" width="15.42578125" style="120" customWidth="1"/>
    <col min="4880" max="4880" width="16" style="120" customWidth="1"/>
    <col min="4881" max="4881" width="32.7109375" style="120" customWidth="1"/>
    <col min="4882" max="4882" width="30.7109375" style="120" customWidth="1"/>
    <col min="4883" max="5114" width="9.140625" style="120"/>
    <col min="5115" max="5115" width="4.28515625" style="120" bestFit="1" customWidth="1"/>
    <col min="5116" max="5116" width="13.85546875" style="120" customWidth="1"/>
    <col min="5117" max="5117" width="28.140625" style="120" customWidth="1"/>
    <col min="5118" max="5118" width="29.140625" style="120" customWidth="1"/>
    <col min="5119" max="5119" width="11.7109375" style="120" customWidth="1"/>
    <col min="5120" max="5120" width="9.140625" style="120"/>
    <col min="5121" max="5121" width="13" style="120" customWidth="1"/>
    <col min="5122" max="5122" width="9.140625" style="120"/>
    <col min="5123" max="5124" width="11" style="120" customWidth="1"/>
    <col min="5125" max="5125" width="11.42578125" style="120" customWidth="1"/>
    <col min="5126" max="5127" width="9.140625" style="120"/>
    <col min="5128" max="5128" width="7.28515625" style="120" customWidth="1"/>
    <col min="5129" max="5129" width="9.7109375" style="120" customWidth="1"/>
    <col min="5130" max="5130" width="21.28515625" style="120" customWidth="1"/>
    <col min="5131" max="5131" width="22" style="120" customWidth="1"/>
    <col min="5132" max="5132" width="20.28515625" style="120" customWidth="1"/>
    <col min="5133" max="5133" width="12.28515625" style="120" customWidth="1"/>
    <col min="5134" max="5134" width="16.28515625" style="120" customWidth="1"/>
    <col min="5135" max="5135" width="15.42578125" style="120" customWidth="1"/>
    <col min="5136" max="5136" width="16" style="120" customWidth="1"/>
    <col min="5137" max="5137" width="32.7109375" style="120" customWidth="1"/>
    <col min="5138" max="5138" width="30.7109375" style="120" customWidth="1"/>
    <col min="5139" max="5370" width="9.140625" style="120"/>
    <col min="5371" max="5371" width="4.28515625" style="120" bestFit="1" customWidth="1"/>
    <col min="5372" max="5372" width="13.85546875" style="120" customWidth="1"/>
    <col min="5373" max="5373" width="28.140625" style="120" customWidth="1"/>
    <col min="5374" max="5374" width="29.140625" style="120" customWidth="1"/>
    <col min="5375" max="5375" width="11.7109375" style="120" customWidth="1"/>
    <col min="5376" max="5376" width="9.140625" style="120"/>
    <col min="5377" max="5377" width="13" style="120" customWidth="1"/>
    <col min="5378" max="5378" width="9.140625" style="120"/>
    <col min="5379" max="5380" width="11" style="120" customWidth="1"/>
    <col min="5381" max="5381" width="11.42578125" style="120" customWidth="1"/>
    <col min="5382" max="5383" width="9.140625" style="120"/>
    <col min="5384" max="5384" width="7.28515625" style="120" customWidth="1"/>
    <col min="5385" max="5385" width="9.7109375" style="120" customWidth="1"/>
    <col min="5386" max="5386" width="21.28515625" style="120" customWidth="1"/>
    <col min="5387" max="5387" width="22" style="120" customWidth="1"/>
    <col min="5388" max="5388" width="20.28515625" style="120" customWidth="1"/>
    <col min="5389" max="5389" width="12.28515625" style="120" customWidth="1"/>
    <col min="5390" max="5390" width="16.28515625" style="120" customWidth="1"/>
    <col min="5391" max="5391" width="15.42578125" style="120" customWidth="1"/>
    <col min="5392" max="5392" width="16" style="120" customWidth="1"/>
    <col min="5393" max="5393" width="32.7109375" style="120" customWidth="1"/>
    <col min="5394" max="5394" width="30.7109375" style="120" customWidth="1"/>
    <col min="5395" max="5626" width="9.140625" style="120"/>
    <col min="5627" max="5627" width="4.28515625" style="120" bestFit="1" customWidth="1"/>
    <col min="5628" max="5628" width="13.85546875" style="120" customWidth="1"/>
    <col min="5629" max="5629" width="28.140625" style="120" customWidth="1"/>
    <col min="5630" max="5630" width="29.140625" style="120" customWidth="1"/>
    <col min="5631" max="5631" width="11.7109375" style="120" customWidth="1"/>
    <col min="5632" max="5632" width="9.140625" style="120"/>
    <col min="5633" max="5633" width="13" style="120" customWidth="1"/>
    <col min="5634" max="5634" width="9.140625" style="120"/>
    <col min="5635" max="5636" width="11" style="120" customWidth="1"/>
    <col min="5637" max="5637" width="11.42578125" style="120" customWidth="1"/>
    <col min="5638" max="5639" width="9.140625" style="120"/>
    <col min="5640" max="5640" width="7.28515625" style="120" customWidth="1"/>
    <col min="5641" max="5641" width="9.7109375" style="120" customWidth="1"/>
    <col min="5642" max="5642" width="21.28515625" style="120" customWidth="1"/>
    <col min="5643" max="5643" width="22" style="120" customWidth="1"/>
    <col min="5644" max="5644" width="20.28515625" style="120" customWidth="1"/>
    <col min="5645" max="5645" width="12.28515625" style="120" customWidth="1"/>
    <col min="5646" max="5646" width="16.28515625" style="120" customWidth="1"/>
    <col min="5647" max="5647" width="15.42578125" style="120" customWidth="1"/>
    <col min="5648" max="5648" width="16" style="120" customWidth="1"/>
    <col min="5649" max="5649" width="32.7109375" style="120" customWidth="1"/>
    <col min="5650" max="5650" width="30.7109375" style="120" customWidth="1"/>
    <col min="5651" max="5882" width="9.140625" style="120"/>
    <col min="5883" max="5883" width="4.28515625" style="120" bestFit="1" customWidth="1"/>
    <col min="5884" max="5884" width="13.85546875" style="120" customWidth="1"/>
    <col min="5885" max="5885" width="28.140625" style="120" customWidth="1"/>
    <col min="5886" max="5886" width="29.140625" style="120" customWidth="1"/>
    <col min="5887" max="5887" width="11.7109375" style="120" customWidth="1"/>
    <col min="5888" max="5888" width="9.140625" style="120"/>
    <col min="5889" max="5889" width="13" style="120" customWidth="1"/>
    <col min="5890" max="5890" width="9.140625" style="120"/>
    <col min="5891" max="5892" width="11" style="120" customWidth="1"/>
    <col min="5893" max="5893" width="11.42578125" style="120" customWidth="1"/>
    <col min="5894" max="5895" width="9.140625" style="120"/>
    <col min="5896" max="5896" width="7.28515625" style="120" customWidth="1"/>
    <col min="5897" max="5897" width="9.7109375" style="120" customWidth="1"/>
    <col min="5898" max="5898" width="21.28515625" style="120" customWidth="1"/>
    <col min="5899" max="5899" width="22" style="120" customWidth="1"/>
    <col min="5900" max="5900" width="20.28515625" style="120" customWidth="1"/>
    <col min="5901" max="5901" width="12.28515625" style="120" customWidth="1"/>
    <col min="5902" max="5902" width="16.28515625" style="120" customWidth="1"/>
    <col min="5903" max="5903" width="15.42578125" style="120" customWidth="1"/>
    <col min="5904" max="5904" width="16" style="120" customWidth="1"/>
    <col min="5905" max="5905" width="32.7109375" style="120" customWidth="1"/>
    <col min="5906" max="5906" width="30.7109375" style="120" customWidth="1"/>
    <col min="5907" max="6138" width="9.140625" style="120"/>
    <col min="6139" max="6139" width="4.28515625" style="120" bestFit="1" customWidth="1"/>
    <col min="6140" max="6140" width="13.85546875" style="120" customWidth="1"/>
    <col min="6141" max="6141" width="28.140625" style="120" customWidth="1"/>
    <col min="6142" max="6142" width="29.140625" style="120" customWidth="1"/>
    <col min="6143" max="6143" width="11.7109375" style="120" customWidth="1"/>
    <col min="6144" max="6144" width="9.140625" style="120"/>
    <col min="6145" max="6145" width="13" style="120" customWidth="1"/>
    <col min="6146" max="6146" width="9.140625" style="120"/>
    <col min="6147" max="6148" width="11" style="120" customWidth="1"/>
    <col min="6149" max="6149" width="11.42578125" style="120" customWidth="1"/>
    <col min="6150" max="6151" width="9.140625" style="120"/>
    <col min="6152" max="6152" width="7.28515625" style="120" customWidth="1"/>
    <col min="6153" max="6153" width="9.7109375" style="120" customWidth="1"/>
    <col min="6154" max="6154" width="21.28515625" style="120" customWidth="1"/>
    <col min="6155" max="6155" width="22" style="120" customWidth="1"/>
    <col min="6156" max="6156" width="20.28515625" style="120" customWidth="1"/>
    <col min="6157" max="6157" width="12.28515625" style="120" customWidth="1"/>
    <col min="6158" max="6158" width="16.28515625" style="120" customWidth="1"/>
    <col min="6159" max="6159" width="15.42578125" style="120" customWidth="1"/>
    <col min="6160" max="6160" width="16" style="120" customWidth="1"/>
    <col min="6161" max="6161" width="32.7109375" style="120" customWidth="1"/>
    <col min="6162" max="6162" width="30.7109375" style="120" customWidth="1"/>
    <col min="6163" max="6394" width="9.140625" style="120"/>
    <col min="6395" max="6395" width="4.28515625" style="120" bestFit="1" customWidth="1"/>
    <col min="6396" max="6396" width="13.85546875" style="120" customWidth="1"/>
    <col min="6397" max="6397" width="28.140625" style="120" customWidth="1"/>
    <col min="6398" max="6398" width="29.140625" style="120" customWidth="1"/>
    <col min="6399" max="6399" width="11.7109375" style="120" customWidth="1"/>
    <col min="6400" max="6400" width="9.140625" style="120"/>
    <col min="6401" max="6401" width="13" style="120" customWidth="1"/>
    <col min="6402" max="6402" width="9.140625" style="120"/>
    <col min="6403" max="6404" width="11" style="120" customWidth="1"/>
    <col min="6405" max="6405" width="11.42578125" style="120" customWidth="1"/>
    <col min="6406" max="6407" width="9.140625" style="120"/>
    <col min="6408" max="6408" width="7.28515625" style="120" customWidth="1"/>
    <col min="6409" max="6409" width="9.7109375" style="120" customWidth="1"/>
    <col min="6410" max="6410" width="21.28515625" style="120" customWidth="1"/>
    <col min="6411" max="6411" width="22" style="120" customWidth="1"/>
    <col min="6412" max="6412" width="20.28515625" style="120" customWidth="1"/>
    <col min="6413" max="6413" width="12.28515625" style="120" customWidth="1"/>
    <col min="6414" max="6414" width="16.28515625" style="120" customWidth="1"/>
    <col min="6415" max="6415" width="15.42578125" style="120" customWidth="1"/>
    <col min="6416" max="6416" width="16" style="120" customWidth="1"/>
    <col min="6417" max="6417" width="32.7109375" style="120" customWidth="1"/>
    <col min="6418" max="6418" width="30.7109375" style="120" customWidth="1"/>
    <col min="6419" max="6650" width="9.140625" style="120"/>
    <col min="6651" max="6651" width="4.28515625" style="120" bestFit="1" customWidth="1"/>
    <col min="6652" max="6652" width="13.85546875" style="120" customWidth="1"/>
    <col min="6653" max="6653" width="28.140625" style="120" customWidth="1"/>
    <col min="6654" max="6654" width="29.140625" style="120" customWidth="1"/>
    <col min="6655" max="6655" width="11.7109375" style="120" customWidth="1"/>
    <col min="6656" max="6656" width="9.140625" style="120"/>
    <col min="6657" max="6657" width="13" style="120" customWidth="1"/>
    <col min="6658" max="6658" width="9.140625" style="120"/>
    <col min="6659" max="6660" width="11" style="120" customWidth="1"/>
    <col min="6661" max="6661" width="11.42578125" style="120" customWidth="1"/>
    <col min="6662" max="6663" width="9.140625" style="120"/>
    <col min="6664" max="6664" width="7.28515625" style="120" customWidth="1"/>
    <col min="6665" max="6665" width="9.7109375" style="120" customWidth="1"/>
    <col min="6666" max="6666" width="21.28515625" style="120" customWidth="1"/>
    <col min="6667" max="6667" width="22" style="120" customWidth="1"/>
    <col min="6668" max="6668" width="20.28515625" style="120" customWidth="1"/>
    <col min="6669" max="6669" width="12.28515625" style="120" customWidth="1"/>
    <col min="6670" max="6670" width="16.28515625" style="120" customWidth="1"/>
    <col min="6671" max="6671" width="15.42578125" style="120" customWidth="1"/>
    <col min="6672" max="6672" width="16" style="120" customWidth="1"/>
    <col min="6673" max="6673" width="32.7109375" style="120" customWidth="1"/>
    <col min="6674" max="6674" width="30.7109375" style="120" customWidth="1"/>
    <col min="6675" max="6906" width="9.140625" style="120"/>
    <col min="6907" max="6907" width="4.28515625" style="120" bestFit="1" customWidth="1"/>
    <col min="6908" max="6908" width="13.85546875" style="120" customWidth="1"/>
    <col min="6909" max="6909" width="28.140625" style="120" customWidth="1"/>
    <col min="6910" max="6910" width="29.140625" style="120" customWidth="1"/>
    <col min="6911" max="6911" width="11.7109375" style="120" customWidth="1"/>
    <col min="6912" max="6912" width="9.140625" style="120"/>
    <col min="6913" max="6913" width="13" style="120" customWidth="1"/>
    <col min="6914" max="6914" width="9.140625" style="120"/>
    <col min="6915" max="6916" width="11" style="120" customWidth="1"/>
    <col min="6917" max="6917" width="11.42578125" style="120" customWidth="1"/>
    <col min="6918" max="6919" width="9.140625" style="120"/>
    <col min="6920" max="6920" width="7.28515625" style="120" customWidth="1"/>
    <col min="6921" max="6921" width="9.7109375" style="120" customWidth="1"/>
    <col min="6922" max="6922" width="21.28515625" style="120" customWidth="1"/>
    <col min="6923" max="6923" width="22" style="120" customWidth="1"/>
    <col min="6924" max="6924" width="20.28515625" style="120" customWidth="1"/>
    <col min="6925" max="6925" width="12.28515625" style="120" customWidth="1"/>
    <col min="6926" max="6926" width="16.28515625" style="120" customWidth="1"/>
    <col min="6927" max="6927" width="15.42578125" style="120" customWidth="1"/>
    <col min="6928" max="6928" width="16" style="120" customWidth="1"/>
    <col min="6929" max="6929" width="32.7109375" style="120" customWidth="1"/>
    <col min="6930" max="6930" width="30.7109375" style="120" customWidth="1"/>
    <col min="6931" max="7162" width="9.140625" style="120"/>
    <col min="7163" max="7163" width="4.28515625" style="120" bestFit="1" customWidth="1"/>
    <col min="7164" max="7164" width="13.85546875" style="120" customWidth="1"/>
    <col min="7165" max="7165" width="28.140625" style="120" customWidth="1"/>
    <col min="7166" max="7166" width="29.140625" style="120" customWidth="1"/>
    <col min="7167" max="7167" width="11.7109375" style="120" customWidth="1"/>
    <col min="7168" max="7168" width="9.140625" style="120"/>
    <col min="7169" max="7169" width="13" style="120" customWidth="1"/>
    <col min="7170" max="7170" width="9.140625" style="120"/>
    <col min="7171" max="7172" width="11" style="120" customWidth="1"/>
    <col min="7173" max="7173" width="11.42578125" style="120" customWidth="1"/>
    <col min="7174" max="7175" width="9.140625" style="120"/>
    <col min="7176" max="7176" width="7.28515625" style="120" customWidth="1"/>
    <col min="7177" max="7177" width="9.7109375" style="120" customWidth="1"/>
    <col min="7178" max="7178" width="21.28515625" style="120" customWidth="1"/>
    <col min="7179" max="7179" width="22" style="120" customWidth="1"/>
    <col min="7180" max="7180" width="20.28515625" style="120" customWidth="1"/>
    <col min="7181" max="7181" width="12.28515625" style="120" customWidth="1"/>
    <col min="7182" max="7182" width="16.28515625" style="120" customWidth="1"/>
    <col min="7183" max="7183" width="15.42578125" style="120" customWidth="1"/>
    <col min="7184" max="7184" width="16" style="120" customWidth="1"/>
    <col min="7185" max="7185" width="32.7109375" style="120" customWidth="1"/>
    <col min="7186" max="7186" width="30.7109375" style="120" customWidth="1"/>
    <col min="7187" max="7418" width="9.140625" style="120"/>
    <col min="7419" max="7419" width="4.28515625" style="120" bestFit="1" customWidth="1"/>
    <col min="7420" max="7420" width="13.85546875" style="120" customWidth="1"/>
    <col min="7421" max="7421" width="28.140625" style="120" customWidth="1"/>
    <col min="7422" max="7422" width="29.140625" style="120" customWidth="1"/>
    <col min="7423" max="7423" width="11.7109375" style="120" customWidth="1"/>
    <col min="7424" max="7424" width="9.140625" style="120"/>
    <col min="7425" max="7425" width="13" style="120" customWidth="1"/>
    <col min="7426" max="7426" width="9.140625" style="120"/>
    <col min="7427" max="7428" width="11" style="120" customWidth="1"/>
    <col min="7429" max="7429" width="11.42578125" style="120" customWidth="1"/>
    <col min="7430" max="7431" width="9.140625" style="120"/>
    <col min="7432" max="7432" width="7.28515625" style="120" customWidth="1"/>
    <col min="7433" max="7433" width="9.7109375" style="120" customWidth="1"/>
    <col min="7434" max="7434" width="21.28515625" style="120" customWidth="1"/>
    <col min="7435" max="7435" width="22" style="120" customWidth="1"/>
    <col min="7436" max="7436" width="20.28515625" style="120" customWidth="1"/>
    <col min="7437" max="7437" width="12.28515625" style="120" customWidth="1"/>
    <col min="7438" max="7438" width="16.28515625" style="120" customWidth="1"/>
    <col min="7439" max="7439" width="15.42578125" style="120" customWidth="1"/>
    <col min="7440" max="7440" width="16" style="120" customWidth="1"/>
    <col min="7441" max="7441" width="32.7109375" style="120" customWidth="1"/>
    <col min="7442" max="7442" width="30.7109375" style="120" customWidth="1"/>
    <col min="7443" max="7674" width="9.140625" style="120"/>
    <col min="7675" max="7675" width="4.28515625" style="120" bestFit="1" customWidth="1"/>
    <col min="7676" max="7676" width="13.85546875" style="120" customWidth="1"/>
    <col min="7677" max="7677" width="28.140625" style="120" customWidth="1"/>
    <col min="7678" max="7678" width="29.140625" style="120" customWidth="1"/>
    <col min="7679" max="7679" width="11.7109375" style="120" customWidth="1"/>
    <col min="7680" max="7680" width="9.140625" style="120"/>
    <col min="7681" max="7681" width="13" style="120" customWidth="1"/>
    <col min="7682" max="7682" width="9.140625" style="120"/>
    <col min="7683" max="7684" width="11" style="120" customWidth="1"/>
    <col min="7685" max="7685" width="11.42578125" style="120" customWidth="1"/>
    <col min="7686" max="7687" width="9.140625" style="120"/>
    <col min="7688" max="7688" width="7.28515625" style="120" customWidth="1"/>
    <col min="7689" max="7689" width="9.7109375" style="120" customWidth="1"/>
    <col min="7690" max="7690" width="21.28515625" style="120" customWidth="1"/>
    <col min="7691" max="7691" width="22" style="120" customWidth="1"/>
    <col min="7692" max="7692" width="20.28515625" style="120" customWidth="1"/>
    <col min="7693" max="7693" width="12.28515625" style="120" customWidth="1"/>
    <col min="7694" max="7694" width="16.28515625" style="120" customWidth="1"/>
    <col min="7695" max="7695" width="15.42578125" style="120" customWidth="1"/>
    <col min="7696" max="7696" width="16" style="120" customWidth="1"/>
    <col min="7697" max="7697" width="32.7109375" style="120" customWidth="1"/>
    <col min="7698" max="7698" width="30.7109375" style="120" customWidth="1"/>
    <col min="7699" max="7930" width="9.140625" style="120"/>
    <col min="7931" max="7931" width="4.28515625" style="120" bestFit="1" customWidth="1"/>
    <col min="7932" max="7932" width="13.85546875" style="120" customWidth="1"/>
    <col min="7933" max="7933" width="28.140625" style="120" customWidth="1"/>
    <col min="7934" max="7934" width="29.140625" style="120" customWidth="1"/>
    <col min="7935" max="7935" width="11.7109375" style="120" customWidth="1"/>
    <col min="7936" max="7936" width="9.140625" style="120"/>
    <col min="7937" max="7937" width="13" style="120" customWidth="1"/>
    <col min="7938" max="7938" width="9.140625" style="120"/>
    <col min="7939" max="7940" width="11" style="120" customWidth="1"/>
    <col min="7941" max="7941" width="11.42578125" style="120" customWidth="1"/>
    <col min="7942" max="7943" width="9.140625" style="120"/>
    <col min="7944" max="7944" width="7.28515625" style="120" customWidth="1"/>
    <col min="7945" max="7945" width="9.7109375" style="120" customWidth="1"/>
    <col min="7946" max="7946" width="21.28515625" style="120" customWidth="1"/>
    <col min="7947" max="7947" width="22" style="120" customWidth="1"/>
    <col min="7948" max="7948" width="20.28515625" style="120" customWidth="1"/>
    <col min="7949" max="7949" width="12.28515625" style="120" customWidth="1"/>
    <col min="7950" max="7950" width="16.28515625" style="120" customWidth="1"/>
    <col min="7951" max="7951" width="15.42578125" style="120" customWidth="1"/>
    <col min="7952" max="7952" width="16" style="120" customWidth="1"/>
    <col min="7953" max="7953" width="32.7109375" style="120" customWidth="1"/>
    <col min="7954" max="7954" width="30.7109375" style="120" customWidth="1"/>
    <col min="7955" max="8186" width="9.140625" style="120"/>
    <col min="8187" max="8187" width="4.28515625" style="120" bestFit="1" customWidth="1"/>
    <col min="8188" max="8188" width="13.85546875" style="120" customWidth="1"/>
    <col min="8189" max="8189" width="28.140625" style="120" customWidth="1"/>
    <col min="8190" max="8190" width="29.140625" style="120" customWidth="1"/>
    <col min="8191" max="8191" width="11.7109375" style="120" customWidth="1"/>
    <col min="8192" max="8192" width="9.140625" style="120"/>
    <col min="8193" max="8193" width="13" style="120" customWidth="1"/>
    <col min="8194" max="8194" width="9.140625" style="120"/>
    <col min="8195" max="8196" width="11" style="120" customWidth="1"/>
    <col min="8197" max="8197" width="11.42578125" style="120" customWidth="1"/>
    <col min="8198" max="8199" width="9.140625" style="120"/>
    <col min="8200" max="8200" width="7.28515625" style="120" customWidth="1"/>
    <col min="8201" max="8201" width="9.7109375" style="120" customWidth="1"/>
    <col min="8202" max="8202" width="21.28515625" style="120" customWidth="1"/>
    <col min="8203" max="8203" width="22" style="120" customWidth="1"/>
    <col min="8204" max="8204" width="20.28515625" style="120" customWidth="1"/>
    <col min="8205" max="8205" width="12.28515625" style="120" customWidth="1"/>
    <col min="8206" max="8206" width="16.28515625" style="120" customWidth="1"/>
    <col min="8207" max="8207" width="15.42578125" style="120" customWidth="1"/>
    <col min="8208" max="8208" width="16" style="120" customWidth="1"/>
    <col min="8209" max="8209" width="32.7109375" style="120" customWidth="1"/>
    <col min="8210" max="8210" width="30.7109375" style="120" customWidth="1"/>
    <col min="8211" max="8442" width="9.140625" style="120"/>
    <col min="8443" max="8443" width="4.28515625" style="120" bestFit="1" customWidth="1"/>
    <col min="8444" max="8444" width="13.85546875" style="120" customWidth="1"/>
    <col min="8445" max="8445" width="28.140625" style="120" customWidth="1"/>
    <col min="8446" max="8446" width="29.140625" style="120" customWidth="1"/>
    <col min="8447" max="8447" width="11.7109375" style="120" customWidth="1"/>
    <col min="8448" max="8448" width="9.140625" style="120"/>
    <col min="8449" max="8449" width="13" style="120" customWidth="1"/>
    <col min="8450" max="8450" width="9.140625" style="120"/>
    <col min="8451" max="8452" width="11" style="120" customWidth="1"/>
    <col min="8453" max="8453" width="11.42578125" style="120" customWidth="1"/>
    <col min="8454" max="8455" width="9.140625" style="120"/>
    <col min="8456" max="8456" width="7.28515625" style="120" customWidth="1"/>
    <col min="8457" max="8457" width="9.7109375" style="120" customWidth="1"/>
    <col min="8458" max="8458" width="21.28515625" style="120" customWidth="1"/>
    <col min="8459" max="8459" width="22" style="120" customWidth="1"/>
    <col min="8460" max="8460" width="20.28515625" style="120" customWidth="1"/>
    <col min="8461" max="8461" width="12.28515625" style="120" customWidth="1"/>
    <col min="8462" max="8462" width="16.28515625" style="120" customWidth="1"/>
    <col min="8463" max="8463" width="15.42578125" style="120" customWidth="1"/>
    <col min="8464" max="8464" width="16" style="120" customWidth="1"/>
    <col min="8465" max="8465" width="32.7109375" style="120" customWidth="1"/>
    <col min="8466" max="8466" width="30.7109375" style="120" customWidth="1"/>
    <col min="8467" max="8698" width="9.140625" style="120"/>
    <col min="8699" max="8699" width="4.28515625" style="120" bestFit="1" customWidth="1"/>
    <col min="8700" max="8700" width="13.85546875" style="120" customWidth="1"/>
    <col min="8701" max="8701" width="28.140625" style="120" customWidth="1"/>
    <col min="8702" max="8702" width="29.140625" style="120" customWidth="1"/>
    <col min="8703" max="8703" width="11.7109375" style="120" customWidth="1"/>
    <col min="8704" max="8704" width="9.140625" style="120"/>
    <col min="8705" max="8705" width="13" style="120" customWidth="1"/>
    <col min="8706" max="8706" width="9.140625" style="120"/>
    <col min="8707" max="8708" width="11" style="120" customWidth="1"/>
    <col min="8709" max="8709" width="11.42578125" style="120" customWidth="1"/>
    <col min="8710" max="8711" width="9.140625" style="120"/>
    <col min="8712" max="8712" width="7.28515625" style="120" customWidth="1"/>
    <col min="8713" max="8713" width="9.7109375" style="120" customWidth="1"/>
    <col min="8714" max="8714" width="21.28515625" style="120" customWidth="1"/>
    <col min="8715" max="8715" width="22" style="120" customWidth="1"/>
    <col min="8716" max="8716" width="20.28515625" style="120" customWidth="1"/>
    <col min="8717" max="8717" width="12.28515625" style="120" customWidth="1"/>
    <col min="8718" max="8718" width="16.28515625" style="120" customWidth="1"/>
    <col min="8719" max="8719" width="15.42578125" style="120" customWidth="1"/>
    <col min="8720" max="8720" width="16" style="120" customWidth="1"/>
    <col min="8721" max="8721" width="32.7109375" style="120" customWidth="1"/>
    <col min="8722" max="8722" width="30.7109375" style="120" customWidth="1"/>
    <col min="8723" max="8954" width="9.140625" style="120"/>
    <col min="8955" max="8955" width="4.28515625" style="120" bestFit="1" customWidth="1"/>
    <col min="8956" max="8956" width="13.85546875" style="120" customWidth="1"/>
    <col min="8957" max="8957" width="28.140625" style="120" customWidth="1"/>
    <col min="8958" max="8958" width="29.140625" style="120" customWidth="1"/>
    <col min="8959" max="8959" width="11.7109375" style="120" customWidth="1"/>
    <col min="8960" max="8960" width="9.140625" style="120"/>
    <col min="8961" max="8961" width="13" style="120" customWidth="1"/>
    <col min="8962" max="8962" width="9.140625" style="120"/>
    <col min="8963" max="8964" width="11" style="120" customWidth="1"/>
    <col min="8965" max="8965" width="11.42578125" style="120" customWidth="1"/>
    <col min="8966" max="8967" width="9.140625" style="120"/>
    <col min="8968" max="8968" width="7.28515625" style="120" customWidth="1"/>
    <col min="8969" max="8969" width="9.7109375" style="120" customWidth="1"/>
    <col min="8970" max="8970" width="21.28515625" style="120" customWidth="1"/>
    <col min="8971" max="8971" width="22" style="120" customWidth="1"/>
    <col min="8972" max="8972" width="20.28515625" style="120" customWidth="1"/>
    <col min="8973" max="8973" width="12.28515625" style="120" customWidth="1"/>
    <col min="8974" max="8974" width="16.28515625" style="120" customWidth="1"/>
    <col min="8975" max="8975" width="15.42578125" style="120" customWidth="1"/>
    <col min="8976" max="8976" width="16" style="120" customWidth="1"/>
    <col min="8977" max="8977" width="32.7109375" style="120" customWidth="1"/>
    <col min="8978" max="8978" width="30.7109375" style="120" customWidth="1"/>
    <col min="8979" max="9210" width="9.140625" style="120"/>
    <col min="9211" max="9211" width="4.28515625" style="120" bestFit="1" customWidth="1"/>
    <col min="9212" max="9212" width="13.85546875" style="120" customWidth="1"/>
    <col min="9213" max="9213" width="28.140625" style="120" customWidth="1"/>
    <col min="9214" max="9214" width="29.140625" style="120" customWidth="1"/>
    <col min="9215" max="9215" width="11.7109375" style="120" customWidth="1"/>
    <col min="9216" max="9216" width="9.140625" style="120"/>
    <col min="9217" max="9217" width="13" style="120" customWidth="1"/>
    <col min="9218" max="9218" width="9.140625" style="120"/>
    <col min="9219" max="9220" width="11" style="120" customWidth="1"/>
    <col min="9221" max="9221" width="11.42578125" style="120" customWidth="1"/>
    <col min="9222" max="9223" width="9.140625" style="120"/>
    <col min="9224" max="9224" width="7.28515625" style="120" customWidth="1"/>
    <col min="9225" max="9225" width="9.7109375" style="120" customWidth="1"/>
    <col min="9226" max="9226" width="21.28515625" style="120" customWidth="1"/>
    <col min="9227" max="9227" width="22" style="120" customWidth="1"/>
    <col min="9228" max="9228" width="20.28515625" style="120" customWidth="1"/>
    <col min="9229" max="9229" width="12.28515625" style="120" customWidth="1"/>
    <col min="9230" max="9230" width="16.28515625" style="120" customWidth="1"/>
    <col min="9231" max="9231" width="15.42578125" style="120" customWidth="1"/>
    <col min="9232" max="9232" width="16" style="120" customWidth="1"/>
    <col min="9233" max="9233" width="32.7109375" style="120" customWidth="1"/>
    <col min="9234" max="9234" width="30.7109375" style="120" customWidth="1"/>
    <col min="9235" max="9466" width="9.140625" style="120"/>
    <col min="9467" max="9467" width="4.28515625" style="120" bestFit="1" customWidth="1"/>
    <col min="9468" max="9468" width="13.85546875" style="120" customWidth="1"/>
    <col min="9469" max="9469" width="28.140625" style="120" customWidth="1"/>
    <col min="9470" max="9470" width="29.140625" style="120" customWidth="1"/>
    <col min="9471" max="9471" width="11.7109375" style="120" customWidth="1"/>
    <col min="9472" max="9472" width="9.140625" style="120"/>
    <col min="9473" max="9473" width="13" style="120" customWidth="1"/>
    <col min="9474" max="9474" width="9.140625" style="120"/>
    <col min="9475" max="9476" width="11" style="120" customWidth="1"/>
    <col min="9477" max="9477" width="11.42578125" style="120" customWidth="1"/>
    <col min="9478" max="9479" width="9.140625" style="120"/>
    <col min="9480" max="9480" width="7.28515625" style="120" customWidth="1"/>
    <col min="9481" max="9481" width="9.7109375" style="120" customWidth="1"/>
    <col min="9482" max="9482" width="21.28515625" style="120" customWidth="1"/>
    <col min="9483" max="9483" width="22" style="120" customWidth="1"/>
    <col min="9484" max="9484" width="20.28515625" style="120" customWidth="1"/>
    <col min="9485" max="9485" width="12.28515625" style="120" customWidth="1"/>
    <col min="9486" max="9486" width="16.28515625" style="120" customWidth="1"/>
    <col min="9487" max="9487" width="15.42578125" style="120" customWidth="1"/>
    <col min="9488" max="9488" width="16" style="120" customWidth="1"/>
    <col min="9489" max="9489" width="32.7109375" style="120" customWidth="1"/>
    <col min="9490" max="9490" width="30.7109375" style="120" customWidth="1"/>
    <col min="9491" max="9722" width="9.140625" style="120"/>
    <col min="9723" max="9723" width="4.28515625" style="120" bestFit="1" customWidth="1"/>
    <col min="9724" max="9724" width="13.85546875" style="120" customWidth="1"/>
    <col min="9725" max="9725" width="28.140625" style="120" customWidth="1"/>
    <col min="9726" max="9726" width="29.140625" style="120" customWidth="1"/>
    <col min="9727" max="9727" width="11.7109375" style="120" customWidth="1"/>
    <col min="9728" max="9728" width="9.140625" style="120"/>
    <col min="9729" max="9729" width="13" style="120" customWidth="1"/>
    <col min="9730" max="9730" width="9.140625" style="120"/>
    <col min="9731" max="9732" width="11" style="120" customWidth="1"/>
    <col min="9733" max="9733" width="11.42578125" style="120" customWidth="1"/>
    <col min="9734" max="9735" width="9.140625" style="120"/>
    <col min="9736" max="9736" width="7.28515625" style="120" customWidth="1"/>
    <col min="9737" max="9737" width="9.7109375" style="120" customWidth="1"/>
    <col min="9738" max="9738" width="21.28515625" style="120" customWidth="1"/>
    <col min="9739" max="9739" width="22" style="120" customWidth="1"/>
    <col min="9740" max="9740" width="20.28515625" style="120" customWidth="1"/>
    <col min="9741" max="9741" width="12.28515625" style="120" customWidth="1"/>
    <col min="9742" max="9742" width="16.28515625" style="120" customWidth="1"/>
    <col min="9743" max="9743" width="15.42578125" style="120" customWidth="1"/>
    <col min="9744" max="9744" width="16" style="120" customWidth="1"/>
    <col min="9745" max="9745" width="32.7109375" style="120" customWidth="1"/>
    <col min="9746" max="9746" width="30.7109375" style="120" customWidth="1"/>
    <col min="9747" max="9978" width="9.140625" style="120"/>
    <col min="9979" max="9979" width="4.28515625" style="120" bestFit="1" customWidth="1"/>
    <col min="9980" max="9980" width="13.85546875" style="120" customWidth="1"/>
    <col min="9981" max="9981" width="28.140625" style="120" customWidth="1"/>
    <col min="9982" max="9982" width="29.140625" style="120" customWidth="1"/>
    <col min="9983" max="9983" width="11.7109375" style="120" customWidth="1"/>
    <col min="9984" max="9984" width="9.140625" style="120"/>
    <col min="9985" max="9985" width="13" style="120" customWidth="1"/>
    <col min="9986" max="9986" width="9.140625" style="120"/>
    <col min="9987" max="9988" width="11" style="120" customWidth="1"/>
    <col min="9989" max="9989" width="11.42578125" style="120" customWidth="1"/>
    <col min="9990" max="9991" width="9.140625" style="120"/>
    <col min="9992" max="9992" width="7.28515625" style="120" customWidth="1"/>
    <col min="9993" max="9993" width="9.7109375" style="120" customWidth="1"/>
    <col min="9994" max="9994" width="21.28515625" style="120" customWidth="1"/>
    <col min="9995" max="9995" width="22" style="120" customWidth="1"/>
    <col min="9996" max="9996" width="20.28515625" style="120" customWidth="1"/>
    <col min="9997" max="9997" width="12.28515625" style="120" customWidth="1"/>
    <col min="9998" max="9998" width="16.28515625" style="120" customWidth="1"/>
    <col min="9999" max="9999" width="15.42578125" style="120" customWidth="1"/>
    <col min="10000" max="10000" width="16" style="120" customWidth="1"/>
    <col min="10001" max="10001" width="32.7109375" style="120" customWidth="1"/>
    <col min="10002" max="10002" width="30.7109375" style="120" customWidth="1"/>
    <col min="10003" max="10234" width="9.140625" style="120"/>
    <col min="10235" max="10235" width="4.28515625" style="120" bestFit="1" customWidth="1"/>
    <col min="10236" max="10236" width="13.85546875" style="120" customWidth="1"/>
    <col min="10237" max="10237" width="28.140625" style="120" customWidth="1"/>
    <col min="10238" max="10238" width="29.140625" style="120" customWidth="1"/>
    <col min="10239" max="10239" width="11.7109375" style="120" customWidth="1"/>
    <col min="10240" max="10240" width="9.140625" style="120"/>
    <col min="10241" max="10241" width="13" style="120" customWidth="1"/>
    <col min="10242" max="10242" width="9.140625" style="120"/>
    <col min="10243" max="10244" width="11" style="120" customWidth="1"/>
    <col min="10245" max="10245" width="11.42578125" style="120" customWidth="1"/>
    <col min="10246" max="10247" width="9.140625" style="120"/>
    <col min="10248" max="10248" width="7.28515625" style="120" customWidth="1"/>
    <col min="10249" max="10249" width="9.7109375" style="120" customWidth="1"/>
    <col min="10250" max="10250" width="21.28515625" style="120" customWidth="1"/>
    <col min="10251" max="10251" width="22" style="120" customWidth="1"/>
    <col min="10252" max="10252" width="20.28515625" style="120" customWidth="1"/>
    <col min="10253" max="10253" width="12.28515625" style="120" customWidth="1"/>
    <col min="10254" max="10254" width="16.28515625" style="120" customWidth="1"/>
    <col min="10255" max="10255" width="15.42578125" style="120" customWidth="1"/>
    <col min="10256" max="10256" width="16" style="120" customWidth="1"/>
    <col min="10257" max="10257" width="32.7109375" style="120" customWidth="1"/>
    <col min="10258" max="10258" width="30.7109375" style="120" customWidth="1"/>
    <col min="10259" max="10490" width="9.140625" style="120"/>
    <col min="10491" max="10491" width="4.28515625" style="120" bestFit="1" customWidth="1"/>
    <col min="10492" max="10492" width="13.85546875" style="120" customWidth="1"/>
    <col min="10493" max="10493" width="28.140625" style="120" customWidth="1"/>
    <col min="10494" max="10494" width="29.140625" style="120" customWidth="1"/>
    <col min="10495" max="10495" width="11.7109375" style="120" customWidth="1"/>
    <col min="10496" max="10496" width="9.140625" style="120"/>
    <col min="10497" max="10497" width="13" style="120" customWidth="1"/>
    <col min="10498" max="10498" width="9.140625" style="120"/>
    <col min="10499" max="10500" width="11" style="120" customWidth="1"/>
    <col min="10501" max="10501" width="11.42578125" style="120" customWidth="1"/>
    <col min="10502" max="10503" width="9.140625" style="120"/>
    <col min="10504" max="10504" width="7.28515625" style="120" customWidth="1"/>
    <col min="10505" max="10505" width="9.7109375" style="120" customWidth="1"/>
    <col min="10506" max="10506" width="21.28515625" style="120" customWidth="1"/>
    <col min="10507" max="10507" width="22" style="120" customWidth="1"/>
    <col min="10508" max="10508" width="20.28515625" style="120" customWidth="1"/>
    <col min="10509" max="10509" width="12.28515625" style="120" customWidth="1"/>
    <col min="10510" max="10510" width="16.28515625" style="120" customWidth="1"/>
    <col min="10511" max="10511" width="15.42578125" style="120" customWidth="1"/>
    <col min="10512" max="10512" width="16" style="120" customWidth="1"/>
    <col min="10513" max="10513" width="32.7109375" style="120" customWidth="1"/>
    <col min="10514" max="10514" width="30.7109375" style="120" customWidth="1"/>
    <col min="10515" max="10746" width="9.140625" style="120"/>
    <col min="10747" max="10747" width="4.28515625" style="120" bestFit="1" customWidth="1"/>
    <col min="10748" max="10748" width="13.85546875" style="120" customWidth="1"/>
    <col min="10749" max="10749" width="28.140625" style="120" customWidth="1"/>
    <col min="10750" max="10750" width="29.140625" style="120" customWidth="1"/>
    <col min="10751" max="10751" width="11.7109375" style="120" customWidth="1"/>
    <col min="10752" max="10752" width="9.140625" style="120"/>
    <col min="10753" max="10753" width="13" style="120" customWidth="1"/>
    <col min="10754" max="10754" width="9.140625" style="120"/>
    <col min="10755" max="10756" width="11" style="120" customWidth="1"/>
    <col min="10757" max="10757" width="11.42578125" style="120" customWidth="1"/>
    <col min="10758" max="10759" width="9.140625" style="120"/>
    <col min="10760" max="10760" width="7.28515625" style="120" customWidth="1"/>
    <col min="10761" max="10761" width="9.7109375" style="120" customWidth="1"/>
    <col min="10762" max="10762" width="21.28515625" style="120" customWidth="1"/>
    <col min="10763" max="10763" width="22" style="120" customWidth="1"/>
    <col min="10764" max="10764" width="20.28515625" style="120" customWidth="1"/>
    <col min="10765" max="10765" width="12.28515625" style="120" customWidth="1"/>
    <col min="10766" max="10766" width="16.28515625" style="120" customWidth="1"/>
    <col min="10767" max="10767" width="15.42578125" style="120" customWidth="1"/>
    <col min="10768" max="10768" width="16" style="120" customWidth="1"/>
    <col min="10769" max="10769" width="32.7109375" style="120" customWidth="1"/>
    <col min="10770" max="10770" width="30.7109375" style="120" customWidth="1"/>
    <col min="10771" max="11002" width="9.140625" style="120"/>
    <col min="11003" max="11003" width="4.28515625" style="120" bestFit="1" customWidth="1"/>
    <col min="11004" max="11004" width="13.85546875" style="120" customWidth="1"/>
    <col min="11005" max="11005" width="28.140625" style="120" customWidth="1"/>
    <col min="11006" max="11006" width="29.140625" style="120" customWidth="1"/>
    <col min="11007" max="11007" width="11.7109375" style="120" customWidth="1"/>
    <col min="11008" max="11008" width="9.140625" style="120"/>
    <col min="11009" max="11009" width="13" style="120" customWidth="1"/>
    <col min="11010" max="11010" width="9.140625" style="120"/>
    <col min="11011" max="11012" width="11" style="120" customWidth="1"/>
    <col min="11013" max="11013" width="11.42578125" style="120" customWidth="1"/>
    <col min="11014" max="11015" width="9.140625" style="120"/>
    <col min="11016" max="11016" width="7.28515625" style="120" customWidth="1"/>
    <col min="11017" max="11017" width="9.7109375" style="120" customWidth="1"/>
    <col min="11018" max="11018" width="21.28515625" style="120" customWidth="1"/>
    <col min="11019" max="11019" width="22" style="120" customWidth="1"/>
    <col min="11020" max="11020" width="20.28515625" style="120" customWidth="1"/>
    <col min="11021" max="11021" width="12.28515625" style="120" customWidth="1"/>
    <col min="11022" max="11022" width="16.28515625" style="120" customWidth="1"/>
    <col min="11023" max="11023" width="15.42578125" style="120" customWidth="1"/>
    <col min="11024" max="11024" width="16" style="120" customWidth="1"/>
    <col min="11025" max="11025" width="32.7109375" style="120" customWidth="1"/>
    <col min="11026" max="11026" width="30.7109375" style="120" customWidth="1"/>
    <col min="11027" max="11258" width="9.140625" style="120"/>
    <col min="11259" max="11259" width="4.28515625" style="120" bestFit="1" customWidth="1"/>
    <col min="11260" max="11260" width="13.85546875" style="120" customWidth="1"/>
    <col min="11261" max="11261" width="28.140625" style="120" customWidth="1"/>
    <col min="11262" max="11262" width="29.140625" style="120" customWidth="1"/>
    <col min="11263" max="11263" width="11.7109375" style="120" customWidth="1"/>
    <col min="11264" max="11264" width="9.140625" style="120"/>
    <col min="11265" max="11265" width="13" style="120" customWidth="1"/>
    <col min="11266" max="11266" width="9.140625" style="120"/>
    <col min="11267" max="11268" width="11" style="120" customWidth="1"/>
    <col min="11269" max="11269" width="11.42578125" style="120" customWidth="1"/>
    <col min="11270" max="11271" width="9.140625" style="120"/>
    <col min="11272" max="11272" width="7.28515625" style="120" customWidth="1"/>
    <col min="11273" max="11273" width="9.7109375" style="120" customWidth="1"/>
    <col min="11274" max="11274" width="21.28515625" style="120" customWidth="1"/>
    <col min="11275" max="11275" width="22" style="120" customWidth="1"/>
    <col min="11276" max="11276" width="20.28515625" style="120" customWidth="1"/>
    <col min="11277" max="11277" width="12.28515625" style="120" customWidth="1"/>
    <col min="11278" max="11278" width="16.28515625" style="120" customWidth="1"/>
    <col min="11279" max="11279" width="15.42578125" style="120" customWidth="1"/>
    <col min="11280" max="11280" width="16" style="120" customWidth="1"/>
    <col min="11281" max="11281" width="32.7109375" style="120" customWidth="1"/>
    <col min="11282" max="11282" width="30.7109375" style="120" customWidth="1"/>
    <col min="11283" max="11514" width="9.140625" style="120"/>
    <col min="11515" max="11515" width="4.28515625" style="120" bestFit="1" customWidth="1"/>
    <col min="11516" max="11516" width="13.85546875" style="120" customWidth="1"/>
    <col min="11517" max="11517" width="28.140625" style="120" customWidth="1"/>
    <col min="11518" max="11518" width="29.140625" style="120" customWidth="1"/>
    <col min="11519" max="11519" width="11.7109375" style="120" customWidth="1"/>
    <col min="11520" max="11520" width="9.140625" style="120"/>
    <col min="11521" max="11521" width="13" style="120" customWidth="1"/>
    <col min="11522" max="11522" width="9.140625" style="120"/>
    <col min="11523" max="11524" width="11" style="120" customWidth="1"/>
    <col min="11525" max="11525" width="11.42578125" style="120" customWidth="1"/>
    <col min="11526" max="11527" width="9.140625" style="120"/>
    <col min="11528" max="11528" width="7.28515625" style="120" customWidth="1"/>
    <col min="11529" max="11529" width="9.7109375" style="120" customWidth="1"/>
    <col min="11530" max="11530" width="21.28515625" style="120" customWidth="1"/>
    <col min="11531" max="11531" width="22" style="120" customWidth="1"/>
    <col min="11532" max="11532" width="20.28515625" style="120" customWidth="1"/>
    <col min="11533" max="11533" width="12.28515625" style="120" customWidth="1"/>
    <col min="11534" max="11534" width="16.28515625" style="120" customWidth="1"/>
    <col min="11535" max="11535" width="15.42578125" style="120" customWidth="1"/>
    <col min="11536" max="11536" width="16" style="120" customWidth="1"/>
    <col min="11537" max="11537" width="32.7109375" style="120" customWidth="1"/>
    <col min="11538" max="11538" width="30.7109375" style="120" customWidth="1"/>
    <col min="11539" max="11770" width="9.140625" style="120"/>
    <col min="11771" max="11771" width="4.28515625" style="120" bestFit="1" customWidth="1"/>
    <col min="11772" max="11772" width="13.85546875" style="120" customWidth="1"/>
    <col min="11773" max="11773" width="28.140625" style="120" customWidth="1"/>
    <col min="11774" max="11774" width="29.140625" style="120" customWidth="1"/>
    <col min="11775" max="11775" width="11.7109375" style="120" customWidth="1"/>
    <col min="11776" max="11776" width="9.140625" style="120"/>
    <col min="11777" max="11777" width="13" style="120" customWidth="1"/>
    <col min="11778" max="11778" width="9.140625" style="120"/>
    <col min="11779" max="11780" width="11" style="120" customWidth="1"/>
    <col min="11781" max="11781" width="11.42578125" style="120" customWidth="1"/>
    <col min="11782" max="11783" width="9.140625" style="120"/>
    <col min="11784" max="11784" width="7.28515625" style="120" customWidth="1"/>
    <col min="11785" max="11785" width="9.7109375" style="120" customWidth="1"/>
    <col min="11786" max="11786" width="21.28515625" style="120" customWidth="1"/>
    <col min="11787" max="11787" width="22" style="120" customWidth="1"/>
    <col min="11788" max="11788" width="20.28515625" style="120" customWidth="1"/>
    <col min="11789" max="11789" width="12.28515625" style="120" customWidth="1"/>
    <col min="11790" max="11790" width="16.28515625" style="120" customWidth="1"/>
    <col min="11791" max="11791" width="15.42578125" style="120" customWidth="1"/>
    <col min="11792" max="11792" width="16" style="120" customWidth="1"/>
    <col min="11793" max="11793" width="32.7109375" style="120" customWidth="1"/>
    <col min="11794" max="11794" width="30.7109375" style="120" customWidth="1"/>
    <col min="11795" max="12026" width="9.140625" style="120"/>
    <col min="12027" max="12027" width="4.28515625" style="120" bestFit="1" customWidth="1"/>
    <col min="12028" max="12028" width="13.85546875" style="120" customWidth="1"/>
    <col min="12029" max="12029" width="28.140625" style="120" customWidth="1"/>
    <col min="12030" max="12030" width="29.140625" style="120" customWidth="1"/>
    <col min="12031" max="12031" width="11.7109375" style="120" customWidth="1"/>
    <col min="12032" max="12032" width="9.140625" style="120"/>
    <col min="12033" max="12033" width="13" style="120" customWidth="1"/>
    <col min="12034" max="12034" width="9.140625" style="120"/>
    <col min="12035" max="12036" width="11" style="120" customWidth="1"/>
    <col min="12037" max="12037" width="11.42578125" style="120" customWidth="1"/>
    <col min="12038" max="12039" width="9.140625" style="120"/>
    <col min="12040" max="12040" width="7.28515625" style="120" customWidth="1"/>
    <col min="12041" max="12041" width="9.7109375" style="120" customWidth="1"/>
    <col min="12042" max="12042" width="21.28515625" style="120" customWidth="1"/>
    <col min="12043" max="12043" width="22" style="120" customWidth="1"/>
    <col min="12044" max="12044" width="20.28515625" style="120" customWidth="1"/>
    <col min="12045" max="12045" width="12.28515625" style="120" customWidth="1"/>
    <col min="12046" max="12046" width="16.28515625" style="120" customWidth="1"/>
    <col min="12047" max="12047" width="15.42578125" style="120" customWidth="1"/>
    <col min="12048" max="12048" width="16" style="120" customWidth="1"/>
    <col min="12049" max="12049" width="32.7109375" style="120" customWidth="1"/>
    <col min="12050" max="12050" width="30.7109375" style="120" customWidth="1"/>
    <col min="12051" max="12282" width="9.140625" style="120"/>
    <col min="12283" max="12283" width="4.28515625" style="120" bestFit="1" customWidth="1"/>
    <col min="12284" max="12284" width="13.85546875" style="120" customWidth="1"/>
    <col min="12285" max="12285" width="28.140625" style="120" customWidth="1"/>
    <col min="12286" max="12286" width="29.140625" style="120" customWidth="1"/>
    <col min="12287" max="12287" width="11.7109375" style="120" customWidth="1"/>
    <col min="12288" max="12288" width="9.140625" style="120"/>
    <col min="12289" max="12289" width="13" style="120" customWidth="1"/>
    <col min="12290" max="12290" width="9.140625" style="120"/>
    <col min="12291" max="12292" width="11" style="120" customWidth="1"/>
    <col min="12293" max="12293" width="11.42578125" style="120" customWidth="1"/>
    <col min="12294" max="12295" width="9.140625" style="120"/>
    <col min="12296" max="12296" width="7.28515625" style="120" customWidth="1"/>
    <col min="12297" max="12297" width="9.7109375" style="120" customWidth="1"/>
    <col min="12298" max="12298" width="21.28515625" style="120" customWidth="1"/>
    <col min="12299" max="12299" width="22" style="120" customWidth="1"/>
    <col min="12300" max="12300" width="20.28515625" style="120" customWidth="1"/>
    <col min="12301" max="12301" width="12.28515625" style="120" customWidth="1"/>
    <col min="12302" max="12302" width="16.28515625" style="120" customWidth="1"/>
    <col min="12303" max="12303" width="15.42578125" style="120" customWidth="1"/>
    <col min="12304" max="12304" width="16" style="120" customWidth="1"/>
    <col min="12305" max="12305" width="32.7109375" style="120" customWidth="1"/>
    <col min="12306" max="12306" width="30.7109375" style="120" customWidth="1"/>
    <col min="12307" max="12538" width="9.140625" style="120"/>
    <col min="12539" max="12539" width="4.28515625" style="120" bestFit="1" customWidth="1"/>
    <col min="12540" max="12540" width="13.85546875" style="120" customWidth="1"/>
    <col min="12541" max="12541" width="28.140625" style="120" customWidth="1"/>
    <col min="12542" max="12542" width="29.140625" style="120" customWidth="1"/>
    <col min="12543" max="12543" width="11.7109375" style="120" customWidth="1"/>
    <col min="12544" max="12544" width="9.140625" style="120"/>
    <col min="12545" max="12545" width="13" style="120" customWidth="1"/>
    <col min="12546" max="12546" width="9.140625" style="120"/>
    <col min="12547" max="12548" width="11" style="120" customWidth="1"/>
    <col min="12549" max="12549" width="11.42578125" style="120" customWidth="1"/>
    <col min="12550" max="12551" width="9.140625" style="120"/>
    <col min="12552" max="12552" width="7.28515625" style="120" customWidth="1"/>
    <col min="12553" max="12553" width="9.7109375" style="120" customWidth="1"/>
    <col min="12554" max="12554" width="21.28515625" style="120" customWidth="1"/>
    <col min="12555" max="12555" width="22" style="120" customWidth="1"/>
    <col min="12556" max="12556" width="20.28515625" style="120" customWidth="1"/>
    <col min="12557" max="12557" width="12.28515625" style="120" customWidth="1"/>
    <col min="12558" max="12558" width="16.28515625" style="120" customWidth="1"/>
    <col min="12559" max="12559" width="15.42578125" style="120" customWidth="1"/>
    <col min="12560" max="12560" width="16" style="120" customWidth="1"/>
    <col min="12561" max="12561" width="32.7109375" style="120" customWidth="1"/>
    <col min="12562" max="12562" width="30.7109375" style="120" customWidth="1"/>
    <col min="12563" max="12794" width="9.140625" style="120"/>
    <col min="12795" max="12795" width="4.28515625" style="120" bestFit="1" customWidth="1"/>
    <col min="12796" max="12796" width="13.85546875" style="120" customWidth="1"/>
    <col min="12797" max="12797" width="28.140625" style="120" customWidth="1"/>
    <col min="12798" max="12798" width="29.140625" style="120" customWidth="1"/>
    <col min="12799" max="12799" width="11.7109375" style="120" customWidth="1"/>
    <col min="12800" max="12800" width="9.140625" style="120"/>
    <col min="12801" max="12801" width="13" style="120" customWidth="1"/>
    <col min="12802" max="12802" width="9.140625" style="120"/>
    <col min="12803" max="12804" width="11" style="120" customWidth="1"/>
    <col min="12805" max="12805" width="11.42578125" style="120" customWidth="1"/>
    <col min="12806" max="12807" width="9.140625" style="120"/>
    <col min="12808" max="12808" width="7.28515625" style="120" customWidth="1"/>
    <col min="12809" max="12809" width="9.7109375" style="120" customWidth="1"/>
    <col min="12810" max="12810" width="21.28515625" style="120" customWidth="1"/>
    <col min="12811" max="12811" width="22" style="120" customWidth="1"/>
    <col min="12812" max="12812" width="20.28515625" style="120" customWidth="1"/>
    <col min="12813" max="12813" width="12.28515625" style="120" customWidth="1"/>
    <col min="12814" max="12814" width="16.28515625" style="120" customWidth="1"/>
    <col min="12815" max="12815" width="15.42578125" style="120" customWidth="1"/>
    <col min="12816" max="12816" width="16" style="120" customWidth="1"/>
    <col min="12817" max="12817" width="32.7109375" style="120" customWidth="1"/>
    <col min="12818" max="12818" width="30.7109375" style="120" customWidth="1"/>
    <col min="12819" max="13050" width="9.140625" style="120"/>
    <col min="13051" max="13051" width="4.28515625" style="120" bestFit="1" customWidth="1"/>
    <col min="13052" max="13052" width="13.85546875" style="120" customWidth="1"/>
    <col min="13053" max="13053" width="28.140625" style="120" customWidth="1"/>
    <col min="13054" max="13054" width="29.140625" style="120" customWidth="1"/>
    <col min="13055" max="13055" width="11.7109375" style="120" customWidth="1"/>
    <col min="13056" max="13056" width="9.140625" style="120"/>
    <col min="13057" max="13057" width="13" style="120" customWidth="1"/>
    <col min="13058" max="13058" width="9.140625" style="120"/>
    <col min="13059" max="13060" width="11" style="120" customWidth="1"/>
    <col min="13061" max="13061" width="11.42578125" style="120" customWidth="1"/>
    <col min="13062" max="13063" width="9.140625" style="120"/>
    <col min="13064" max="13064" width="7.28515625" style="120" customWidth="1"/>
    <col min="13065" max="13065" width="9.7109375" style="120" customWidth="1"/>
    <col min="13066" max="13066" width="21.28515625" style="120" customWidth="1"/>
    <col min="13067" max="13067" width="22" style="120" customWidth="1"/>
    <col min="13068" max="13068" width="20.28515625" style="120" customWidth="1"/>
    <col min="13069" max="13069" width="12.28515625" style="120" customWidth="1"/>
    <col min="13070" max="13070" width="16.28515625" style="120" customWidth="1"/>
    <col min="13071" max="13071" width="15.42578125" style="120" customWidth="1"/>
    <col min="13072" max="13072" width="16" style="120" customWidth="1"/>
    <col min="13073" max="13073" width="32.7109375" style="120" customWidth="1"/>
    <col min="13074" max="13074" width="30.7109375" style="120" customWidth="1"/>
    <col min="13075" max="13306" width="9.140625" style="120"/>
    <col min="13307" max="13307" width="4.28515625" style="120" bestFit="1" customWidth="1"/>
    <col min="13308" max="13308" width="13.85546875" style="120" customWidth="1"/>
    <col min="13309" max="13309" width="28.140625" style="120" customWidth="1"/>
    <col min="13310" max="13310" width="29.140625" style="120" customWidth="1"/>
    <col min="13311" max="13311" width="11.7109375" style="120" customWidth="1"/>
    <col min="13312" max="13312" width="9.140625" style="120"/>
    <col min="13313" max="13313" width="13" style="120" customWidth="1"/>
    <col min="13314" max="13314" width="9.140625" style="120"/>
    <col min="13315" max="13316" width="11" style="120" customWidth="1"/>
    <col min="13317" max="13317" width="11.42578125" style="120" customWidth="1"/>
    <col min="13318" max="13319" width="9.140625" style="120"/>
    <col min="13320" max="13320" width="7.28515625" style="120" customWidth="1"/>
    <col min="13321" max="13321" width="9.7109375" style="120" customWidth="1"/>
    <col min="13322" max="13322" width="21.28515625" style="120" customWidth="1"/>
    <col min="13323" max="13323" width="22" style="120" customWidth="1"/>
    <col min="13324" max="13324" width="20.28515625" style="120" customWidth="1"/>
    <col min="13325" max="13325" width="12.28515625" style="120" customWidth="1"/>
    <col min="13326" max="13326" width="16.28515625" style="120" customWidth="1"/>
    <col min="13327" max="13327" width="15.42578125" style="120" customWidth="1"/>
    <col min="13328" max="13328" width="16" style="120" customWidth="1"/>
    <col min="13329" max="13329" width="32.7109375" style="120" customWidth="1"/>
    <col min="13330" max="13330" width="30.7109375" style="120" customWidth="1"/>
    <col min="13331" max="13562" width="9.140625" style="120"/>
    <col min="13563" max="13563" width="4.28515625" style="120" bestFit="1" customWidth="1"/>
    <col min="13564" max="13564" width="13.85546875" style="120" customWidth="1"/>
    <col min="13565" max="13565" width="28.140625" style="120" customWidth="1"/>
    <col min="13566" max="13566" width="29.140625" style="120" customWidth="1"/>
    <col min="13567" max="13567" width="11.7109375" style="120" customWidth="1"/>
    <col min="13568" max="13568" width="9.140625" style="120"/>
    <col min="13569" max="13569" width="13" style="120" customWidth="1"/>
    <col min="13570" max="13570" width="9.140625" style="120"/>
    <col min="13571" max="13572" width="11" style="120" customWidth="1"/>
    <col min="13573" max="13573" width="11.42578125" style="120" customWidth="1"/>
    <col min="13574" max="13575" width="9.140625" style="120"/>
    <col min="13576" max="13576" width="7.28515625" style="120" customWidth="1"/>
    <col min="13577" max="13577" width="9.7109375" style="120" customWidth="1"/>
    <col min="13578" max="13578" width="21.28515625" style="120" customWidth="1"/>
    <col min="13579" max="13579" width="22" style="120" customWidth="1"/>
    <col min="13580" max="13580" width="20.28515625" style="120" customWidth="1"/>
    <col min="13581" max="13581" width="12.28515625" style="120" customWidth="1"/>
    <col min="13582" max="13582" width="16.28515625" style="120" customWidth="1"/>
    <col min="13583" max="13583" width="15.42578125" style="120" customWidth="1"/>
    <col min="13584" max="13584" width="16" style="120" customWidth="1"/>
    <col min="13585" max="13585" width="32.7109375" style="120" customWidth="1"/>
    <col min="13586" max="13586" width="30.7109375" style="120" customWidth="1"/>
    <col min="13587" max="13818" width="9.140625" style="120"/>
    <col min="13819" max="13819" width="4.28515625" style="120" bestFit="1" customWidth="1"/>
    <col min="13820" max="13820" width="13.85546875" style="120" customWidth="1"/>
    <col min="13821" max="13821" width="28.140625" style="120" customWidth="1"/>
    <col min="13822" max="13822" width="29.140625" style="120" customWidth="1"/>
    <col min="13823" max="13823" width="11.7109375" style="120" customWidth="1"/>
    <col min="13824" max="13824" width="9.140625" style="120"/>
    <col min="13825" max="13825" width="13" style="120" customWidth="1"/>
    <col min="13826" max="13826" width="9.140625" style="120"/>
    <col min="13827" max="13828" width="11" style="120" customWidth="1"/>
    <col min="13829" max="13829" width="11.42578125" style="120" customWidth="1"/>
    <col min="13830" max="13831" width="9.140625" style="120"/>
    <col min="13832" max="13832" width="7.28515625" style="120" customWidth="1"/>
    <col min="13833" max="13833" width="9.7109375" style="120" customWidth="1"/>
    <col min="13834" max="13834" width="21.28515625" style="120" customWidth="1"/>
    <col min="13835" max="13835" width="22" style="120" customWidth="1"/>
    <col min="13836" max="13836" width="20.28515625" style="120" customWidth="1"/>
    <col min="13837" max="13837" width="12.28515625" style="120" customWidth="1"/>
    <col min="13838" max="13838" width="16.28515625" style="120" customWidth="1"/>
    <col min="13839" max="13839" width="15.42578125" style="120" customWidth="1"/>
    <col min="13840" max="13840" width="16" style="120" customWidth="1"/>
    <col min="13841" max="13841" width="32.7109375" style="120" customWidth="1"/>
    <col min="13842" max="13842" width="30.7109375" style="120" customWidth="1"/>
    <col min="13843" max="14074" width="9.140625" style="120"/>
    <col min="14075" max="14075" width="4.28515625" style="120" bestFit="1" customWidth="1"/>
    <col min="14076" max="14076" width="13.85546875" style="120" customWidth="1"/>
    <col min="14077" max="14077" width="28.140625" style="120" customWidth="1"/>
    <col min="14078" max="14078" width="29.140625" style="120" customWidth="1"/>
    <col min="14079" max="14079" width="11.7109375" style="120" customWidth="1"/>
    <col min="14080" max="14080" width="9.140625" style="120"/>
    <col min="14081" max="14081" width="13" style="120" customWidth="1"/>
    <col min="14082" max="14082" width="9.140625" style="120"/>
    <col min="14083" max="14084" width="11" style="120" customWidth="1"/>
    <col min="14085" max="14085" width="11.42578125" style="120" customWidth="1"/>
    <col min="14086" max="14087" width="9.140625" style="120"/>
    <col min="14088" max="14088" width="7.28515625" style="120" customWidth="1"/>
    <col min="14089" max="14089" width="9.7109375" style="120" customWidth="1"/>
    <col min="14090" max="14090" width="21.28515625" style="120" customWidth="1"/>
    <col min="14091" max="14091" width="22" style="120" customWidth="1"/>
    <col min="14092" max="14092" width="20.28515625" style="120" customWidth="1"/>
    <col min="14093" max="14093" width="12.28515625" style="120" customWidth="1"/>
    <col min="14094" max="14094" width="16.28515625" style="120" customWidth="1"/>
    <col min="14095" max="14095" width="15.42578125" style="120" customWidth="1"/>
    <col min="14096" max="14096" width="16" style="120" customWidth="1"/>
    <col min="14097" max="14097" width="32.7109375" style="120" customWidth="1"/>
    <col min="14098" max="14098" width="30.7109375" style="120" customWidth="1"/>
    <col min="14099" max="14330" width="9.140625" style="120"/>
    <col min="14331" max="14331" width="4.28515625" style="120" bestFit="1" customWidth="1"/>
    <col min="14332" max="14332" width="13.85546875" style="120" customWidth="1"/>
    <col min="14333" max="14333" width="28.140625" style="120" customWidth="1"/>
    <col min="14334" max="14334" width="29.140625" style="120" customWidth="1"/>
    <col min="14335" max="14335" width="11.7109375" style="120" customWidth="1"/>
    <col min="14336" max="14336" width="9.140625" style="120"/>
    <col min="14337" max="14337" width="13" style="120" customWidth="1"/>
    <col min="14338" max="14338" width="9.140625" style="120"/>
    <col min="14339" max="14340" width="11" style="120" customWidth="1"/>
    <col min="14341" max="14341" width="11.42578125" style="120" customWidth="1"/>
    <col min="14342" max="14343" width="9.140625" style="120"/>
    <col min="14344" max="14344" width="7.28515625" style="120" customWidth="1"/>
    <col min="14345" max="14345" width="9.7109375" style="120" customWidth="1"/>
    <col min="14346" max="14346" width="21.28515625" style="120" customWidth="1"/>
    <col min="14347" max="14347" width="22" style="120" customWidth="1"/>
    <col min="14348" max="14348" width="20.28515625" style="120" customWidth="1"/>
    <col min="14349" max="14349" width="12.28515625" style="120" customWidth="1"/>
    <col min="14350" max="14350" width="16.28515625" style="120" customWidth="1"/>
    <col min="14351" max="14351" width="15.42578125" style="120" customWidth="1"/>
    <col min="14352" max="14352" width="16" style="120" customWidth="1"/>
    <col min="14353" max="14353" width="32.7109375" style="120" customWidth="1"/>
    <col min="14354" max="14354" width="30.7109375" style="120" customWidth="1"/>
    <col min="14355" max="14586" width="9.140625" style="120"/>
    <col min="14587" max="14587" width="4.28515625" style="120" bestFit="1" customWidth="1"/>
    <col min="14588" max="14588" width="13.85546875" style="120" customWidth="1"/>
    <col min="14589" max="14589" width="28.140625" style="120" customWidth="1"/>
    <col min="14590" max="14590" width="29.140625" style="120" customWidth="1"/>
    <col min="14591" max="14591" width="11.7109375" style="120" customWidth="1"/>
    <col min="14592" max="14592" width="9.140625" style="120"/>
    <col min="14593" max="14593" width="13" style="120" customWidth="1"/>
    <col min="14594" max="14594" width="9.140625" style="120"/>
    <col min="14595" max="14596" width="11" style="120" customWidth="1"/>
    <col min="14597" max="14597" width="11.42578125" style="120" customWidth="1"/>
    <col min="14598" max="14599" width="9.140625" style="120"/>
    <col min="14600" max="14600" width="7.28515625" style="120" customWidth="1"/>
    <col min="14601" max="14601" width="9.7109375" style="120" customWidth="1"/>
    <col min="14602" max="14602" width="21.28515625" style="120" customWidth="1"/>
    <col min="14603" max="14603" width="22" style="120" customWidth="1"/>
    <col min="14604" max="14604" width="20.28515625" style="120" customWidth="1"/>
    <col min="14605" max="14605" width="12.28515625" style="120" customWidth="1"/>
    <col min="14606" max="14606" width="16.28515625" style="120" customWidth="1"/>
    <col min="14607" max="14607" width="15.42578125" style="120" customWidth="1"/>
    <col min="14608" max="14608" width="16" style="120" customWidth="1"/>
    <col min="14609" max="14609" width="32.7109375" style="120" customWidth="1"/>
    <col min="14610" max="14610" width="30.7109375" style="120" customWidth="1"/>
    <col min="14611" max="14842" width="9.140625" style="120"/>
    <col min="14843" max="14843" width="4.28515625" style="120" bestFit="1" customWidth="1"/>
    <col min="14844" max="14844" width="13.85546875" style="120" customWidth="1"/>
    <col min="14845" max="14845" width="28.140625" style="120" customWidth="1"/>
    <col min="14846" max="14846" width="29.140625" style="120" customWidth="1"/>
    <col min="14847" max="14847" width="11.7109375" style="120" customWidth="1"/>
    <col min="14848" max="14848" width="9.140625" style="120"/>
    <col min="14849" max="14849" width="13" style="120" customWidth="1"/>
    <col min="14850" max="14850" width="9.140625" style="120"/>
    <col min="14851" max="14852" width="11" style="120" customWidth="1"/>
    <col min="14853" max="14853" width="11.42578125" style="120" customWidth="1"/>
    <col min="14854" max="14855" width="9.140625" style="120"/>
    <col min="14856" max="14856" width="7.28515625" style="120" customWidth="1"/>
    <col min="14857" max="14857" width="9.7109375" style="120" customWidth="1"/>
    <col min="14858" max="14858" width="21.28515625" style="120" customWidth="1"/>
    <col min="14859" max="14859" width="22" style="120" customWidth="1"/>
    <col min="14860" max="14860" width="20.28515625" style="120" customWidth="1"/>
    <col min="14861" max="14861" width="12.28515625" style="120" customWidth="1"/>
    <col min="14862" max="14862" width="16.28515625" style="120" customWidth="1"/>
    <col min="14863" max="14863" width="15.42578125" style="120" customWidth="1"/>
    <col min="14864" max="14864" width="16" style="120" customWidth="1"/>
    <col min="14865" max="14865" width="32.7109375" style="120" customWidth="1"/>
    <col min="14866" max="14866" width="30.7109375" style="120" customWidth="1"/>
    <col min="14867" max="15098" width="9.140625" style="120"/>
    <col min="15099" max="15099" width="4.28515625" style="120" bestFit="1" customWidth="1"/>
    <col min="15100" max="15100" width="13.85546875" style="120" customWidth="1"/>
    <col min="15101" max="15101" width="28.140625" style="120" customWidth="1"/>
    <col min="15102" max="15102" width="29.140625" style="120" customWidth="1"/>
    <col min="15103" max="15103" width="11.7109375" style="120" customWidth="1"/>
    <col min="15104" max="15104" width="9.140625" style="120"/>
    <col min="15105" max="15105" width="13" style="120" customWidth="1"/>
    <col min="15106" max="15106" width="9.140625" style="120"/>
    <col min="15107" max="15108" width="11" style="120" customWidth="1"/>
    <col min="15109" max="15109" width="11.42578125" style="120" customWidth="1"/>
    <col min="15110" max="15111" width="9.140625" style="120"/>
    <col min="15112" max="15112" width="7.28515625" style="120" customWidth="1"/>
    <col min="15113" max="15113" width="9.7109375" style="120" customWidth="1"/>
    <col min="15114" max="15114" width="21.28515625" style="120" customWidth="1"/>
    <col min="15115" max="15115" width="22" style="120" customWidth="1"/>
    <col min="15116" max="15116" width="20.28515625" style="120" customWidth="1"/>
    <col min="15117" max="15117" width="12.28515625" style="120" customWidth="1"/>
    <col min="15118" max="15118" width="16.28515625" style="120" customWidth="1"/>
    <col min="15119" max="15119" width="15.42578125" style="120" customWidth="1"/>
    <col min="15120" max="15120" width="16" style="120" customWidth="1"/>
    <col min="15121" max="15121" width="32.7109375" style="120" customWidth="1"/>
    <col min="15122" max="15122" width="30.7109375" style="120" customWidth="1"/>
    <col min="15123" max="15354" width="9.140625" style="120"/>
    <col min="15355" max="15355" width="4.28515625" style="120" bestFit="1" customWidth="1"/>
    <col min="15356" max="15356" width="13.85546875" style="120" customWidth="1"/>
    <col min="15357" max="15357" width="28.140625" style="120" customWidth="1"/>
    <col min="15358" max="15358" width="29.140625" style="120" customWidth="1"/>
    <col min="15359" max="15359" width="11.7109375" style="120" customWidth="1"/>
    <col min="15360" max="15360" width="9.140625" style="120"/>
    <col min="15361" max="15361" width="13" style="120" customWidth="1"/>
    <col min="15362" max="15362" width="9.140625" style="120"/>
    <col min="15363" max="15364" width="11" style="120" customWidth="1"/>
    <col min="15365" max="15365" width="11.42578125" style="120" customWidth="1"/>
    <col min="15366" max="15367" width="9.140625" style="120"/>
    <col min="15368" max="15368" width="7.28515625" style="120" customWidth="1"/>
    <col min="15369" max="15369" width="9.7109375" style="120" customWidth="1"/>
    <col min="15370" max="15370" width="21.28515625" style="120" customWidth="1"/>
    <col min="15371" max="15371" width="22" style="120" customWidth="1"/>
    <col min="15372" max="15372" width="20.28515625" style="120" customWidth="1"/>
    <col min="15373" max="15373" width="12.28515625" style="120" customWidth="1"/>
    <col min="15374" max="15374" width="16.28515625" style="120" customWidth="1"/>
    <col min="15375" max="15375" width="15.42578125" style="120" customWidth="1"/>
    <col min="15376" max="15376" width="16" style="120" customWidth="1"/>
    <col min="15377" max="15377" width="32.7109375" style="120" customWidth="1"/>
    <col min="15378" max="15378" width="30.7109375" style="120" customWidth="1"/>
    <col min="15379" max="15610" width="9.140625" style="120"/>
    <col min="15611" max="15611" width="4.28515625" style="120" bestFit="1" customWidth="1"/>
    <col min="15612" max="15612" width="13.85546875" style="120" customWidth="1"/>
    <col min="15613" max="15613" width="28.140625" style="120" customWidth="1"/>
    <col min="15614" max="15614" width="29.140625" style="120" customWidth="1"/>
    <col min="15615" max="15615" width="11.7109375" style="120" customWidth="1"/>
    <col min="15616" max="15616" width="9.140625" style="120"/>
    <col min="15617" max="15617" width="13" style="120" customWidth="1"/>
    <col min="15618" max="15618" width="9.140625" style="120"/>
    <col min="15619" max="15620" width="11" style="120" customWidth="1"/>
    <col min="15621" max="15621" width="11.42578125" style="120" customWidth="1"/>
    <col min="15622" max="15623" width="9.140625" style="120"/>
    <col min="15624" max="15624" width="7.28515625" style="120" customWidth="1"/>
    <col min="15625" max="15625" width="9.7109375" style="120" customWidth="1"/>
    <col min="15626" max="15626" width="21.28515625" style="120" customWidth="1"/>
    <col min="15627" max="15627" width="22" style="120" customWidth="1"/>
    <col min="15628" max="15628" width="20.28515625" style="120" customWidth="1"/>
    <col min="15629" max="15629" width="12.28515625" style="120" customWidth="1"/>
    <col min="15630" max="15630" width="16.28515625" style="120" customWidth="1"/>
    <col min="15631" max="15631" width="15.42578125" style="120" customWidth="1"/>
    <col min="15632" max="15632" width="16" style="120" customWidth="1"/>
    <col min="15633" max="15633" width="32.7109375" style="120" customWidth="1"/>
    <col min="15634" max="15634" width="30.7109375" style="120" customWidth="1"/>
    <col min="15635" max="15866" width="9.140625" style="120"/>
    <col min="15867" max="15867" width="4.28515625" style="120" bestFit="1" customWidth="1"/>
    <col min="15868" max="15868" width="13.85546875" style="120" customWidth="1"/>
    <col min="15869" max="15869" width="28.140625" style="120" customWidth="1"/>
    <col min="15870" max="15870" width="29.140625" style="120" customWidth="1"/>
    <col min="15871" max="15871" width="11.7109375" style="120" customWidth="1"/>
    <col min="15872" max="15872" width="9.140625" style="120"/>
    <col min="15873" max="15873" width="13" style="120" customWidth="1"/>
    <col min="15874" max="15874" width="9.140625" style="120"/>
    <col min="15875" max="15876" width="11" style="120" customWidth="1"/>
    <col min="15877" max="15877" width="11.42578125" style="120" customWidth="1"/>
    <col min="15878" max="15879" width="9.140625" style="120"/>
    <col min="15880" max="15880" width="7.28515625" style="120" customWidth="1"/>
    <col min="15881" max="15881" width="9.7109375" style="120" customWidth="1"/>
    <col min="15882" max="15882" width="21.28515625" style="120" customWidth="1"/>
    <col min="15883" max="15883" width="22" style="120" customWidth="1"/>
    <col min="15884" max="15884" width="20.28515625" style="120" customWidth="1"/>
    <col min="15885" max="15885" width="12.28515625" style="120" customWidth="1"/>
    <col min="15886" max="15886" width="16.28515625" style="120" customWidth="1"/>
    <col min="15887" max="15887" width="15.42578125" style="120" customWidth="1"/>
    <col min="15888" max="15888" width="16" style="120" customWidth="1"/>
    <col min="15889" max="15889" width="32.7109375" style="120" customWidth="1"/>
    <col min="15890" max="15890" width="30.7109375" style="120" customWidth="1"/>
    <col min="15891" max="16122" width="9.140625" style="120"/>
    <col min="16123" max="16123" width="4.28515625" style="120" bestFit="1" customWidth="1"/>
    <col min="16124" max="16124" width="13.85546875" style="120" customWidth="1"/>
    <col min="16125" max="16125" width="28.140625" style="120" customWidth="1"/>
    <col min="16126" max="16126" width="29.140625" style="120" customWidth="1"/>
    <col min="16127" max="16127" width="11.7109375" style="120" customWidth="1"/>
    <col min="16128" max="16128" width="9.140625" style="120"/>
    <col min="16129" max="16129" width="13" style="120" customWidth="1"/>
    <col min="16130" max="16130" width="9.140625" style="120"/>
    <col min="16131" max="16132" width="11" style="120" customWidth="1"/>
    <col min="16133" max="16133" width="11.42578125" style="120" customWidth="1"/>
    <col min="16134" max="16135" width="9.140625" style="120"/>
    <col min="16136" max="16136" width="7.28515625" style="120" customWidth="1"/>
    <col min="16137" max="16137" width="9.7109375" style="120" customWidth="1"/>
    <col min="16138" max="16138" width="21.28515625" style="120" customWidth="1"/>
    <col min="16139" max="16139" width="22" style="120" customWidth="1"/>
    <col min="16140" max="16140" width="20.28515625" style="120" customWidth="1"/>
    <col min="16141" max="16141" width="12.28515625" style="120" customWidth="1"/>
    <col min="16142" max="16142" width="16.28515625" style="120" customWidth="1"/>
    <col min="16143" max="16143" width="15.42578125" style="120" customWidth="1"/>
    <col min="16144" max="16144" width="16" style="120" customWidth="1"/>
    <col min="16145" max="16145" width="32.7109375" style="120" customWidth="1"/>
    <col min="16146" max="16146" width="30.7109375" style="120" customWidth="1"/>
    <col min="16147" max="16383" width="9.140625" style="120"/>
    <col min="16384" max="16384" width="8.85546875" style="120" customWidth="1"/>
  </cols>
  <sheetData>
    <row r="1" spans="1:18" s="118" customFormat="1" ht="23.25" x14ac:dyDescent="0.35">
      <c r="B1" s="359" t="s">
        <v>75</v>
      </c>
      <c r="C1" s="359"/>
      <c r="D1" s="359"/>
      <c r="M1" s="360" t="s">
        <v>76</v>
      </c>
      <c r="N1" s="361"/>
      <c r="O1" s="361"/>
      <c r="P1" s="361"/>
      <c r="Q1" s="361"/>
    </row>
    <row r="2" spans="1:18" s="118" customFormat="1" ht="23.25" x14ac:dyDescent="0.3">
      <c r="B2" s="362" t="s">
        <v>77</v>
      </c>
      <c r="C2" s="362"/>
      <c r="D2" s="362"/>
      <c r="M2" s="363" t="s">
        <v>78</v>
      </c>
      <c r="N2" s="364"/>
      <c r="O2" s="364"/>
      <c r="P2" s="364"/>
      <c r="Q2" s="364"/>
    </row>
    <row r="3" spans="1:18" s="118" customFormat="1" ht="18.75" x14ac:dyDescent="0.3"/>
    <row r="4" spans="1:18" s="119" customFormat="1" x14ac:dyDescent="0.25">
      <c r="A4" s="365" t="s">
        <v>79</v>
      </c>
      <c r="B4" s="365"/>
      <c r="C4" s="365"/>
      <c r="D4" s="365"/>
      <c r="E4" s="365"/>
      <c r="F4" s="365"/>
      <c r="G4" s="365"/>
      <c r="H4" s="365"/>
      <c r="I4" s="365"/>
      <c r="J4" s="365"/>
      <c r="K4" s="365"/>
      <c r="L4" s="365"/>
      <c r="M4" s="365"/>
      <c r="N4" s="365"/>
      <c r="O4" s="365"/>
      <c r="P4" s="365"/>
      <c r="Q4" s="365"/>
    </row>
    <row r="5" spans="1:18" s="119" customFormat="1" ht="63" customHeight="1" x14ac:dyDescent="0.25">
      <c r="A5" s="365"/>
      <c r="B5" s="365"/>
      <c r="C5" s="365"/>
      <c r="D5" s="365"/>
      <c r="E5" s="365"/>
      <c r="F5" s="365"/>
      <c r="G5" s="365"/>
      <c r="H5" s="365"/>
      <c r="I5" s="365"/>
      <c r="J5" s="365"/>
      <c r="K5" s="365"/>
      <c r="L5" s="365"/>
      <c r="M5" s="365"/>
      <c r="N5" s="365"/>
      <c r="O5" s="365"/>
      <c r="P5" s="365"/>
      <c r="Q5" s="365"/>
    </row>
    <row r="6" spans="1:18" ht="22.5" x14ac:dyDescent="0.25">
      <c r="A6" s="366" t="s">
        <v>1</v>
      </c>
      <c r="B6" s="366" t="s">
        <v>80</v>
      </c>
      <c r="C6" s="366" t="s">
        <v>81</v>
      </c>
      <c r="D6" s="366" t="s">
        <v>82</v>
      </c>
      <c r="E6" s="369" t="s">
        <v>83</v>
      </c>
      <c r="F6" s="371" t="s">
        <v>84</v>
      </c>
      <c r="G6" s="371"/>
      <c r="H6" s="371"/>
      <c r="I6" s="371"/>
      <c r="J6" s="372"/>
      <c r="K6" s="373" t="s">
        <v>85</v>
      </c>
      <c r="L6" s="371"/>
      <c r="M6" s="371"/>
      <c r="N6" s="371"/>
      <c r="O6" s="371"/>
      <c r="P6" s="372"/>
      <c r="Q6" s="366" t="s">
        <v>86</v>
      </c>
    </row>
    <row r="7" spans="1:18" ht="85.5" customHeight="1" x14ac:dyDescent="0.25">
      <c r="A7" s="367"/>
      <c r="B7" s="367"/>
      <c r="C7" s="368"/>
      <c r="D7" s="367"/>
      <c r="E7" s="370"/>
      <c r="F7" s="121" t="s">
        <v>87</v>
      </c>
      <c r="G7" s="122" t="s">
        <v>88</v>
      </c>
      <c r="H7" s="122" t="s">
        <v>89</v>
      </c>
      <c r="I7" s="122" t="s">
        <v>90</v>
      </c>
      <c r="J7" s="122" t="s">
        <v>91</v>
      </c>
      <c r="K7" s="122" t="s">
        <v>92</v>
      </c>
      <c r="L7" s="122" t="s">
        <v>93</v>
      </c>
      <c r="M7" s="122" t="s">
        <v>94</v>
      </c>
      <c r="N7" s="122" t="s">
        <v>95</v>
      </c>
      <c r="O7" s="122" t="s">
        <v>96</v>
      </c>
      <c r="P7" s="122" t="s">
        <v>97</v>
      </c>
      <c r="Q7" s="374"/>
    </row>
    <row r="8" spans="1:18" ht="48.75" customHeight="1" x14ac:dyDescent="0.25">
      <c r="A8" s="123">
        <v>1</v>
      </c>
      <c r="B8" s="123">
        <v>2</v>
      </c>
      <c r="C8" s="123">
        <v>3</v>
      </c>
      <c r="D8" s="123">
        <v>4</v>
      </c>
      <c r="E8" s="123">
        <v>6</v>
      </c>
      <c r="F8" s="123">
        <v>7</v>
      </c>
      <c r="G8" s="123">
        <v>8</v>
      </c>
      <c r="H8" s="123">
        <v>9</v>
      </c>
      <c r="I8" s="123">
        <v>10</v>
      </c>
      <c r="J8" s="123">
        <v>11</v>
      </c>
      <c r="K8" s="124" t="s">
        <v>98</v>
      </c>
      <c r="L8" s="123">
        <v>13</v>
      </c>
      <c r="M8" s="123">
        <v>14</v>
      </c>
      <c r="N8" s="123">
        <v>15</v>
      </c>
      <c r="O8" s="123">
        <v>16</v>
      </c>
      <c r="P8" s="123">
        <v>17</v>
      </c>
      <c r="Q8" s="123">
        <v>18</v>
      </c>
    </row>
    <row r="9" spans="1:18" ht="82.5" customHeight="1" x14ac:dyDescent="0.25">
      <c r="A9" s="125">
        <v>1</v>
      </c>
      <c r="B9" s="126" t="str">
        <f>'N.T.P.Nie (T116)'!B4</f>
        <v>Hộ ông Nguyễn Trọng Phước Niê</v>
      </c>
      <c r="C9" s="127" t="str">
        <f>'N.T.P.Nie (T116)'!B10</f>
        <v xml:space="preserve">Tổ dân phố Vĩnh Xuân, Phường Nam Nha Trang, tỉnh Khánh Hòa </v>
      </c>
      <c r="D9" s="128" t="s">
        <v>115</v>
      </c>
      <c r="E9" s="129">
        <f>'N.T.P.Nie (T116)'!F6</f>
        <v>223.6</v>
      </c>
      <c r="F9" s="129">
        <f>'N.T.P.Nie (T116)'!F7</f>
        <v>223.6</v>
      </c>
      <c r="G9" s="129">
        <v>0</v>
      </c>
      <c r="H9" s="129">
        <v>0</v>
      </c>
      <c r="I9" s="129">
        <v>0</v>
      </c>
      <c r="J9" s="129">
        <f>'N.T.P.Nie (T116)'!F7</f>
        <v>223.6</v>
      </c>
      <c r="K9" s="130">
        <f>SUM(L9:P9)</f>
        <v>338258378</v>
      </c>
      <c r="L9" s="130">
        <f>'N.T.P.Nie (T116)'!J5</f>
        <v>0</v>
      </c>
      <c r="M9" s="131">
        <f>'N.T.P.Nie (T116)'!J13+'N.T.P.Nie (T116)'!J28</f>
        <v>333596378</v>
      </c>
      <c r="N9" s="132">
        <f>'N.T.P.Nie (T116)'!J29</f>
        <v>4662000</v>
      </c>
      <c r="O9" s="131">
        <f>'N.T.P.Nie (T116)'!J39</f>
        <v>0</v>
      </c>
      <c r="P9" s="132">
        <f>'N.T.P.Nie (T116)'!J40</f>
        <v>0</v>
      </c>
      <c r="Q9" s="133">
        <f>'N.T.P.Nie (T116)'!J44</f>
        <v>8000000</v>
      </c>
      <c r="R9" s="134"/>
    </row>
    <row r="10" spans="1:18" ht="79.5" customHeight="1" x14ac:dyDescent="0.25">
      <c r="A10" s="125">
        <v>2</v>
      </c>
      <c r="B10" s="135" t="str">
        <f>'N.N.Như Ý (T117)'!B4</f>
        <v>Hộ bà Nguyễn Ngọc Như Ý</v>
      </c>
      <c r="C10" s="127" t="str">
        <f>'N.N.Như Ý (T117)'!B12</f>
        <v xml:space="preserve">Tổ dân phố Vĩnh Xuân, Phường Nam Nha Trang, tỉnh Khánh Hòa </v>
      </c>
      <c r="D10" s="128" t="s">
        <v>116</v>
      </c>
      <c r="E10" s="129">
        <f>'N.N.Như Ý (T117)'!F6</f>
        <v>109</v>
      </c>
      <c r="F10" s="129">
        <f>'N.N.Như Ý (T117)'!F7</f>
        <v>109</v>
      </c>
      <c r="G10" s="129">
        <v>0</v>
      </c>
      <c r="H10" s="129">
        <v>0</v>
      </c>
      <c r="I10" s="129">
        <v>0</v>
      </c>
      <c r="J10" s="129">
        <f>'N.N.Như Ý (T117)'!F11</f>
        <v>109</v>
      </c>
      <c r="K10" s="130">
        <f t="shared" ref="K10:K27" si="0">SUM(L10:P10)</f>
        <v>313055897</v>
      </c>
      <c r="L10" s="130">
        <f>'N.N.Như Ý (T117)'!J5</f>
        <v>0</v>
      </c>
      <c r="M10" s="131">
        <f>'N.N.Như Ý (T117)'!J13+'N.N.Như Ý (T117)'!J27</f>
        <v>312665897</v>
      </c>
      <c r="N10" s="132">
        <f>'N.N.Như Ý (T117)'!J28</f>
        <v>390000</v>
      </c>
      <c r="O10" s="131">
        <f>'N.N.Như Ý (T117)'!J33</f>
        <v>0</v>
      </c>
      <c r="P10" s="132">
        <f>'N.N.Như Ý (T117)'!J34</f>
        <v>0</v>
      </c>
      <c r="Q10" s="133">
        <f>'N.N.Như Ý (T117)'!J38</f>
        <v>8000000</v>
      </c>
      <c r="R10" s="134"/>
    </row>
    <row r="11" spans="1:18" ht="45" customHeight="1" x14ac:dyDescent="0.25">
      <c r="A11" s="125">
        <v>3</v>
      </c>
      <c r="B11" s="135" t="str">
        <f>'N.Thị Hà (T118)'!B4</f>
        <v>Hộ bà Nguyễn Thị Hà</v>
      </c>
      <c r="C11" s="127" t="str">
        <f>'N.Thị Hà (T118)'!B12</f>
        <v xml:space="preserve">Tổ dân phố Vĩnh Xuân, Phường Nam Nha Trang, tỉnh Khánh Hòa </v>
      </c>
      <c r="D11" s="128" t="s">
        <v>150</v>
      </c>
      <c r="E11" s="129">
        <f>'N.Thị Hà (T118)'!F6</f>
        <v>244</v>
      </c>
      <c r="F11" s="129">
        <f>'N.Thị Hà (T118)'!F6</f>
        <v>244</v>
      </c>
      <c r="G11" s="129">
        <v>0</v>
      </c>
      <c r="H11" s="129">
        <v>0</v>
      </c>
      <c r="I11" s="129">
        <v>0</v>
      </c>
      <c r="J11" s="129">
        <f>'N.Thị Hà (T118)'!F7</f>
        <v>244</v>
      </c>
      <c r="K11" s="130">
        <f t="shared" si="0"/>
        <v>95136417</v>
      </c>
      <c r="L11" s="130">
        <f>'N.Thị Hà (T118)'!J5</f>
        <v>0</v>
      </c>
      <c r="M11" s="131">
        <f>'N.Thị Hà (T118)'!J13+'N.Thị Hà (T118)'!J24</f>
        <v>90541417</v>
      </c>
      <c r="N11" s="132">
        <f>'N.Thị Hà (T118)'!J27</f>
        <v>4595000</v>
      </c>
      <c r="O11" s="131">
        <f>'N.Thị Hà (T118)'!J39</f>
        <v>0</v>
      </c>
      <c r="P11" s="132">
        <f>'N.Thị Hà (T118)'!J40</f>
        <v>0</v>
      </c>
      <c r="Q11" s="133">
        <f>'N.Thị Hà (T118)'!J44</f>
        <v>8000000</v>
      </c>
      <c r="R11" s="134"/>
    </row>
    <row r="12" spans="1:18" ht="82.5" customHeight="1" x14ac:dyDescent="0.25">
      <c r="A12" s="125">
        <v>4</v>
      </c>
      <c r="B12" s="135" t="str">
        <f>'L.THỊ THÀNH (T115)'!B4</f>
        <v>Hộ bà Lê Thị Thành</v>
      </c>
      <c r="C12" s="127" t="str">
        <f>'L.THỊ THÀNH (T115)'!B14</f>
        <v xml:space="preserve">Tổ dân phố Vĩnh Xuân, Phường Nam Nha Trang, tỉnh Khánh Hòa </v>
      </c>
      <c r="D12" s="128" t="s">
        <v>166</v>
      </c>
      <c r="E12" s="129">
        <f>'L.THỊ THÀNH (T115)'!F6</f>
        <v>174</v>
      </c>
      <c r="F12" s="129">
        <f>'L.THỊ THÀNH (T115)'!F7</f>
        <v>174</v>
      </c>
      <c r="G12" s="129">
        <v>0</v>
      </c>
      <c r="H12" s="129">
        <v>0</v>
      </c>
      <c r="I12" s="129">
        <v>0</v>
      </c>
      <c r="J12" s="129">
        <f>'L.THỊ THÀNH (T115)'!F11</f>
        <v>174</v>
      </c>
      <c r="K12" s="130">
        <f t="shared" si="0"/>
        <v>80132179</v>
      </c>
      <c r="L12" s="130">
        <f>'L.THỊ THÀNH (T115)'!J5</f>
        <v>0</v>
      </c>
      <c r="M12" s="131">
        <f>'L.THỊ THÀNH (T115)'!J13+'L.THỊ THÀNH (T115)'!J25</f>
        <v>79950179</v>
      </c>
      <c r="N12" s="132">
        <f>'L.THỊ THÀNH (T115)'!J28</f>
        <v>182000</v>
      </c>
      <c r="O12" s="131">
        <f>'L.THỊ THÀNH (T115)'!J31</f>
        <v>0</v>
      </c>
      <c r="P12" s="132">
        <f>'L.THỊ THÀNH (T115)'!J32</f>
        <v>0</v>
      </c>
      <c r="Q12" s="133">
        <f>'L.THỊ THÀNH (T115)'!J36</f>
        <v>8000000</v>
      </c>
      <c r="R12" s="134"/>
    </row>
    <row r="13" spans="1:18" ht="85.5" customHeight="1" x14ac:dyDescent="0.25">
      <c r="A13" s="125">
        <v>5</v>
      </c>
      <c r="B13" s="135" t="str">
        <f>'T.THỊ TÂM (T51)'!B4</f>
        <v>Hộ bà Trần Thị Tâm</v>
      </c>
      <c r="C13" s="127" t="str">
        <f>'T.THỊ TÂM (T51)'!B12</f>
        <v xml:space="preserve">Tổ dân phố Vĩnh Xuân, Phường Nam Nha Trang, tỉnh Khánh Hòa </v>
      </c>
      <c r="D13" s="128" t="s">
        <v>179</v>
      </c>
      <c r="E13" s="136">
        <f>'T.THỊ TÂM (T51)'!F6</f>
        <v>344.1</v>
      </c>
      <c r="F13" s="129">
        <f>'T.THỊ TÂM (T51)'!F7</f>
        <v>16.600000000000001</v>
      </c>
      <c r="G13" s="129">
        <v>0</v>
      </c>
      <c r="H13" s="129">
        <v>0</v>
      </c>
      <c r="I13" s="129">
        <v>0</v>
      </c>
      <c r="J13" s="129">
        <f>'T.THỊ TÂM (T51)'!F11</f>
        <v>16.600000000000001</v>
      </c>
      <c r="K13" s="130">
        <f t="shared" si="0"/>
        <v>23985588</v>
      </c>
      <c r="L13" s="130">
        <f>'T.THỊ TÂM (T51)'!J5</f>
        <v>0</v>
      </c>
      <c r="M13" s="131">
        <f>'T.THỊ TÂM (T51)'!J13+'T.THỊ TÂM (T51)'!J21</f>
        <v>23933588</v>
      </c>
      <c r="N13" s="132">
        <f>'T.THỊ TÂM (T51)'!J24</f>
        <v>52000</v>
      </c>
      <c r="O13" s="131">
        <f>'T.THỊ TÂM (T51)'!J27</f>
        <v>0</v>
      </c>
      <c r="P13" s="132">
        <f>'T.THỊ TÂM (T51)'!J28</f>
        <v>0</v>
      </c>
      <c r="Q13" s="133">
        <f>'T.THỊ TÂM (T51)'!J32</f>
        <v>2398558.8000000003</v>
      </c>
      <c r="R13" s="134"/>
    </row>
    <row r="14" spans="1:18" ht="75" x14ac:dyDescent="0.25">
      <c r="A14" s="125">
        <v>6</v>
      </c>
      <c r="B14" s="135" t="str">
        <f>'L.T.MỸ HÒA (T62)'!B4</f>
        <v>Hộ bà Lê Thị Mỹ Hòa</v>
      </c>
      <c r="C14" s="127" t="str">
        <f>'L.T.MỸ HÒA (T62)'!B12</f>
        <v xml:space="preserve">Tổ dân phố Vĩnh Xuân, Phường Nam Nha Trang, tỉnh Khánh Hòa </v>
      </c>
      <c r="D14" s="128" t="s">
        <v>194</v>
      </c>
      <c r="E14" s="129">
        <f>'L.T.MỸ HÒA (T62)'!F6</f>
        <v>95.5</v>
      </c>
      <c r="F14" s="129">
        <f>'L.T.MỸ HÒA (T62)'!F7</f>
        <v>95.5</v>
      </c>
      <c r="G14" s="129">
        <v>0</v>
      </c>
      <c r="H14" s="129">
        <v>0</v>
      </c>
      <c r="I14" s="129">
        <v>0</v>
      </c>
      <c r="J14" s="129">
        <f>'L.T.MỸ HÒA (T62)'!F11</f>
        <v>95.5</v>
      </c>
      <c r="K14" s="130">
        <f>SUM(L14:P14)</f>
        <v>12096869</v>
      </c>
      <c r="L14" s="130">
        <f>'L.T.MỸ HÒA (T62)'!J5</f>
        <v>0</v>
      </c>
      <c r="M14" s="131">
        <f>'L.T.MỸ HÒA (T62)'!J13</f>
        <v>9204869</v>
      </c>
      <c r="N14" s="132">
        <f>'L.T.MỸ HÒA (T62)'!J20</f>
        <v>2892000</v>
      </c>
      <c r="O14" s="131">
        <f>'L.T.MỸ HÒA (T62)'!J26</f>
        <v>0</v>
      </c>
      <c r="P14" s="132">
        <f>'L.T.MỸ HÒA (T62)'!J27</f>
        <v>0</v>
      </c>
      <c r="Q14" s="133">
        <f>'L.T.MỸ HÒA (T62)'!J31</f>
        <v>1209686.9000000001</v>
      </c>
      <c r="R14" s="134"/>
    </row>
    <row r="15" spans="1:18" ht="75" x14ac:dyDescent="0.25">
      <c r="A15" s="125">
        <v>7</v>
      </c>
      <c r="B15" s="135" t="str">
        <f>'N.T.CẨM VÂN (T60)'!B4</f>
        <v>Hộ bà Nguyễn Thị Cẩm Vân</v>
      </c>
      <c r="C15" s="127" t="str">
        <f>'N.T.CẨM VÂN (T60)'!B14</f>
        <v xml:space="preserve">Tổ dân phố Vĩnh Xuân, Phường Nam Nha Trang, tỉnh Khánh Hòa </v>
      </c>
      <c r="D15" s="128" t="s">
        <v>225</v>
      </c>
      <c r="E15" s="129">
        <f>'N.T.CẨM VÂN (T60)'!F6</f>
        <v>174.5</v>
      </c>
      <c r="F15" s="129">
        <f>'N.T.CẨM VÂN (T60)'!F7</f>
        <v>174.5</v>
      </c>
      <c r="G15" s="129">
        <v>0</v>
      </c>
      <c r="H15" s="129">
        <v>0</v>
      </c>
      <c r="I15" s="129">
        <v>0</v>
      </c>
      <c r="J15" s="129">
        <f>'N.T.CẨM VÂN (T60)'!F11</f>
        <v>174.5</v>
      </c>
      <c r="K15" s="130">
        <f t="shared" si="0"/>
        <v>167341837</v>
      </c>
      <c r="L15" s="130">
        <f>'N.T.CẨM VÂN (T60)'!J5</f>
        <v>0</v>
      </c>
      <c r="M15" s="131">
        <f>'N.T.CẨM VÂN (T60)'!J13+'N.T.CẨM VÂN (T60)'!J26</f>
        <v>138463837</v>
      </c>
      <c r="N15" s="132">
        <f>'N.T.CẨM VÂN (T60)'!J29</f>
        <v>28878000</v>
      </c>
      <c r="O15" s="131">
        <f>'N.T.CẨM VÂN (T60)'!J47</f>
        <v>0</v>
      </c>
      <c r="P15" s="132">
        <f>'N.T.CẨM VÂN (T60)'!J48</f>
        <v>0</v>
      </c>
      <c r="Q15" s="133">
        <f>'N.T.CẨM VÂN (T60)'!J52</f>
        <v>8000000</v>
      </c>
      <c r="R15" s="134"/>
    </row>
    <row r="16" spans="1:18" ht="75" x14ac:dyDescent="0.25">
      <c r="A16" s="125">
        <v>8</v>
      </c>
      <c r="B16" s="135" t="str">
        <f>'L.THỊ DẦU (T61)'!B4</f>
        <v>Hộ ông Nguyễn Thành Tâm
 và bà Lê Thị Dầu</v>
      </c>
      <c r="C16" s="127" t="str">
        <f>'L.THỊ DẦU (T61)'!B14</f>
        <v xml:space="preserve">Tổ dân phố Vĩnh Xuân, Phường Nam Nha Trang, tỉnh Khánh Hòa </v>
      </c>
      <c r="D16" s="128" t="s">
        <v>250</v>
      </c>
      <c r="E16" s="129">
        <f>'L.THỊ DẦU (T61)'!F6</f>
        <v>146.80000000000001</v>
      </c>
      <c r="F16" s="129">
        <f>'L.THỊ DẦU (T61)'!F7</f>
        <v>146.80000000000001</v>
      </c>
      <c r="G16" s="129">
        <v>0</v>
      </c>
      <c r="H16" s="129">
        <v>0</v>
      </c>
      <c r="I16" s="129">
        <v>0</v>
      </c>
      <c r="J16" s="129">
        <f>'L.THỊ DẦU (T61)'!F11</f>
        <v>146.80000000000001</v>
      </c>
      <c r="K16" s="130">
        <f t="shared" si="0"/>
        <v>388550613</v>
      </c>
      <c r="L16" s="130">
        <f>'L.THỊ DẦU (T61)'!J5</f>
        <v>0</v>
      </c>
      <c r="M16" s="131">
        <f>'L.THỊ DẦU (T61)'!J13+'L.THỊ DẦU (T61)'!J31</f>
        <v>388216613</v>
      </c>
      <c r="N16" s="132">
        <f>'L.THỊ DẦU (T61)'!J34</f>
        <v>334000</v>
      </c>
      <c r="O16" s="131">
        <f>'L.THỊ DẦU (T61)'!J38</f>
        <v>0</v>
      </c>
      <c r="P16" s="132">
        <f>'L.THỊ DẦU (T61)'!J39</f>
        <v>0</v>
      </c>
      <c r="Q16" s="133">
        <f>'L.THỊ DẦU (T61)'!J43</f>
        <v>8000000</v>
      </c>
      <c r="R16" s="134"/>
    </row>
    <row r="17" spans="1:18" ht="75" x14ac:dyDescent="0.25">
      <c r="A17" s="125">
        <v>9</v>
      </c>
      <c r="B17" s="135" t="str">
        <f>'N.THANH MINH (T123)'!B4</f>
        <v>Hộ ông Nguyễn Thanh Minh 
và bà Lê Thị Ngọc Bích</v>
      </c>
      <c r="C17" s="127" t="str">
        <f>'N.THANH MINH (T123)'!B13</f>
        <v xml:space="preserve">Tổ dân phố Vĩnh Xuân, Phường Nam Nha Trang, tỉnh Khánh Hòa </v>
      </c>
      <c r="D17" s="128" t="s">
        <v>280</v>
      </c>
      <c r="E17" s="129">
        <f>'N.THANH MINH (T123)'!F6</f>
        <v>454.9</v>
      </c>
      <c r="F17" s="129">
        <f>'N.THANH MINH (T123)'!F7</f>
        <v>290.8</v>
      </c>
      <c r="G17" s="129">
        <v>0</v>
      </c>
      <c r="H17" s="129">
        <v>0</v>
      </c>
      <c r="I17" s="129">
        <v>0</v>
      </c>
      <c r="J17" s="129">
        <f>'N.THANH MINH (T123)'!F7</f>
        <v>290.8</v>
      </c>
      <c r="K17" s="130">
        <f t="shared" si="0"/>
        <v>177154918</v>
      </c>
      <c r="L17" s="130">
        <f>'N.THANH MINH (T123)'!J5</f>
        <v>0</v>
      </c>
      <c r="M17" s="131">
        <f>'N.THANH MINH (T123)'!J12+'N.THANH MINH (T123)'!J35</f>
        <v>171177918</v>
      </c>
      <c r="N17" s="132">
        <f>'N.THANH MINH (T123)'!J36</f>
        <v>5977000</v>
      </c>
      <c r="O17" s="131">
        <f>'N.THANH MINH (T123)'!J51</f>
        <v>0</v>
      </c>
      <c r="P17" s="132">
        <f>'N.THANH MINH (T123)'!J52</f>
        <v>0</v>
      </c>
      <c r="Q17" s="133">
        <f>'N.THANH MINH (T123)'!J56</f>
        <v>8000000</v>
      </c>
      <c r="R17" s="134"/>
    </row>
    <row r="18" spans="1:18" ht="75" x14ac:dyDescent="0.25">
      <c r="A18" s="125">
        <v>10</v>
      </c>
      <c r="B18" s="135" t="str">
        <f>'L.V.Quang (T95)'!B4</f>
        <v>Hộ ông Lương Văn Quang</v>
      </c>
      <c r="C18" s="127" t="str">
        <f>'L.V.Quang (T95)'!B13</f>
        <v>Tổ dân phố Vĩnh Xuân, phường Nam Nha Trang, tỉnh Khánh Hòa.</v>
      </c>
      <c r="D18" s="128" t="s">
        <v>364</v>
      </c>
      <c r="E18" s="129">
        <f>'L.V.Quang (T95)'!F6</f>
        <v>111.5</v>
      </c>
      <c r="F18" s="129">
        <f>'L.V.Quang (T95)'!F7</f>
        <v>111.5</v>
      </c>
      <c r="G18" s="129">
        <v>0</v>
      </c>
      <c r="H18" s="129">
        <v>0</v>
      </c>
      <c r="I18" s="129">
        <v>0</v>
      </c>
      <c r="J18" s="129">
        <f>'L.V.Quang (T95)'!F7</f>
        <v>111.5</v>
      </c>
      <c r="K18" s="130">
        <f t="shared" si="0"/>
        <v>23220759</v>
      </c>
      <c r="L18" s="130">
        <f>'L.V.Quang (T95)'!J5</f>
        <v>0</v>
      </c>
      <c r="M18" s="131">
        <f>'L.V.Quang (T95)'!J12+'L.V.Quang (T95)'!J21</f>
        <v>15279759</v>
      </c>
      <c r="N18" s="132">
        <f>'L.V.Quang (T95)'!J22</f>
        <v>7941000</v>
      </c>
      <c r="O18" s="131">
        <f>'L.V.Quang (T95)'!J40</f>
        <v>0</v>
      </c>
      <c r="P18" s="132">
        <f>'L.V.Quang (T95)'!J41</f>
        <v>0</v>
      </c>
      <c r="Q18" s="133">
        <f>'L.V.Quang (T95)'!J45</f>
        <v>0</v>
      </c>
      <c r="R18" s="134"/>
    </row>
    <row r="19" spans="1:18" ht="75" x14ac:dyDescent="0.25">
      <c r="A19" s="125">
        <v>11</v>
      </c>
      <c r="B19" s="135" t="str">
        <f>'L.V.Quang (T94)'!B4</f>
        <v>Hộ ông Lương Văn Quang</v>
      </c>
      <c r="C19" s="127" t="str">
        <f>'L.V.Quang (T94)'!B10</f>
        <v>Tổ dân phố Vĩnh Xuân, phường Nam Nha Trang, tỉnh Khánh Hòa.</v>
      </c>
      <c r="D19" s="128" t="s">
        <v>410</v>
      </c>
      <c r="E19" s="129">
        <f>'L.V.Quang (T94)'!F6</f>
        <v>111.5</v>
      </c>
      <c r="F19" s="129">
        <f>'L.V.Quang (T94)'!F7</f>
        <v>111.5</v>
      </c>
      <c r="G19" s="129">
        <v>0</v>
      </c>
      <c r="H19" s="129">
        <v>0</v>
      </c>
      <c r="I19" s="129">
        <v>0</v>
      </c>
      <c r="J19" s="129">
        <f>'L.V.Quang (T94)'!F11</f>
        <v>111.5</v>
      </c>
      <c r="K19" s="130">
        <f>SUM(L19:P19)</f>
        <v>364989687</v>
      </c>
      <c r="L19" s="130">
        <f>'L.V.Quang (T94)'!J5</f>
        <v>0</v>
      </c>
      <c r="M19" s="130">
        <f>'L.V.Quang (T94)'!J13+'L.V.Quang (T94)'!J34</f>
        <v>355454687</v>
      </c>
      <c r="N19" s="130">
        <f>'L.V.Quang (T94)'!J35</f>
        <v>9535000</v>
      </c>
      <c r="O19" s="322">
        <f>'L.V.Quang (T94)'!J44</f>
        <v>0</v>
      </c>
      <c r="P19" s="130">
        <f>'L.V.Quang (T94)'!J45</f>
        <v>0</v>
      </c>
      <c r="Q19" s="130">
        <f>'L.V.Quang (T94)'!J50</f>
        <v>8000000</v>
      </c>
      <c r="R19" s="134"/>
    </row>
    <row r="20" spans="1:18" ht="75" x14ac:dyDescent="0.25">
      <c r="A20" s="125">
        <v>12</v>
      </c>
      <c r="B20" s="135" t="str">
        <f>'ĐĐSang(T214)'!B4</f>
        <v>Hộ ông Đồng Đức Sang</v>
      </c>
      <c r="C20" s="127" t="str">
        <f>'ĐĐSang(T214)'!B12</f>
        <v xml:space="preserve">Tổ dân phố Vĩnh Xuân, Phường Nam Nha Trang, tỉnh Khánh Hòa </v>
      </c>
      <c r="D20" s="128" t="s">
        <v>369</v>
      </c>
      <c r="E20" s="129">
        <f>'ĐĐSang(T214)'!F6</f>
        <v>100</v>
      </c>
      <c r="F20" s="129">
        <f>'ĐĐSang(T214)'!F7</f>
        <v>100</v>
      </c>
      <c r="G20" s="129">
        <v>0</v>
      </c>
      <c r="H20" s="129">
        <v>0</v>
      </c>
      <c r="I20" s="129">
        <v>0</v>
      </c>
      <c r="J20" s="129">
        <f>'ĐĐSang(T214)'!F11</f>
        <v>100</v>
      </c>
      <c r="K20" s="130">
        <f t="shared" si="0"/>
        <v>0</v>
      </c>
      <c r="L20" s="130">
        <f>'ĐĐSang(T214)'!J5</f>
        <v>0</v>
      </c>
      <c r="M20" s="131">
        <f>'ĐĐSang(T214)'!J13+'ĐĐSang(T214)'!J14</f>
        <v>0</v>
      </c>
      <c r="N20" s="132">
        <f>'ĐĐSang(T214)'!J15</f>
        <v>0</v>
      </c>
      <c r="O20" s="131">
        <f>'ĐĐSang(T214)'!J16</f>
        <v>0</v>
      </c>
      <c r="P20" s="132">
        <f>'ĐĐSang(T214)'!J17</f>
        <v>0</v>
      </c>
      <c r="Q20" s="133">
        <f>'ĐĐSang(T214)'!J21</f>
        <v>1000000</v>
      </c>
      <c r="R20" s="134"/>
    </row>
    <row r="21" spans="1:18" ht="75" x14ac:dyDescent="0.25">
      <c r="A21" s="125">
        <v>13</v>
      </c>
      <c r="B21" s="135" t="str">
        <f>'ĐĐSang(T265)'!B4</f>
        <v>Hộ ông Đồng Đức Sang</v>
      </c>
      <c r="C21" s="127" t="str">
        <f>'ĐĐSang(T265)'!B14</f>
        <v xml:space="preserve">Tổ dân phố Vĩnh Xuân, Phường Nam Nha Trang, tỉnh Khánh Hòa </v>
      </c>
      <c r="D21" s="128" t="s">
        <v>365</v>
      </c>
      <c r="E21" s="129">
        <f>'ĐĐSang(T265)'!F6</f>
        <v>100</v>
      </c>
      <c r="F21" s="129">
        <f>'ĐĐSang(T265)'!F7</f>
        <v>100</v>
      </c>
      <c r="G21" s="129">
        <v>0</v>
      </c>
      <c r="H21" s="129">
        <v>0</v>
      </c>
      <c r="I21" s="129">
        <v>0</v>
      </c>
      <c r="J21" s="129">
        <f>'ĐĐSang(T265)'!F11</f>
        <v>100</v>
      </c>
      <c r="K21" s="130">
        <f t="shared" si="0"/>
        <v>0</v>
      </c>
      <c r="L21" s="130">
        <f>'ĐĐSang(T265)'!J5</f>
        <v>0</v>
      </c>
      <c r="M21" s="131">
        <f>'ĐĐSang(T265)'!J13+'ĐĐSang(T265)'!J14</f>
        <v>0</v>
      </c>
      <c r="N21" s="132">
        <f>'ĐĐSang(T265)'!J15</f>
        <v>0</v>
      </c>
      <c r="O21" s="131">
        <f>'ĐĐSang(T265)'!J16</f>
        <v>0</v>
      </c>
      <c r="P21" s="132">
        <f>'ĐĐSang(T265)'!J17</f>
        <v>0</v>
      </c>
      <c r="Q21" s="133">
        <f>'ĐĐSang(T265)'!J17</f>
        <v>0</v>
      </c>
      <c r="R21" s="134"/>
    </row>
    <row r="22" spans="1:18" ht="75" x14ac:dyDescent="0.25">
      <c r="A22" s="125">
        <v>14</v>
      </c>
      <c r="B22" s="135" t="str">
        <f>'ĐĐSang(T272)'!B4</f>
        <v>Hộ ông Đồng Đức Sang</v>
      </c>
      <c r="C22" s="127" t="str">
        <f>'ĐĐSang(T272)'!B15</f>
        <v xml:space="preserve">Tổ dân phố Vĩnh Xuân, Phường Nam Nha Trang, tỉnh Khánh Hòa </v>
      </c>
      <c r="D22" s="128" t="s">
        <v>370</v>
      </c>
      <c r="E22" s="129">
        <f>'ĐĐSang(T272)'!F6</f>
        <v>100</v>
      </c>
      <c r="F22" s="129">
        <f>'ĐĐSang(T272)'!F7</f>
        <v>100</v>
      </c>
      <c r="G22" s="129">
        <v>0</v>
      </c>
      <c r="H22" s="129">
        <v>0</v>
      </c>
      <c r="I22" s="129">
        <v>0</v>
      </c>
      <c r="J22" s="129">
        <f>'ĐĐSang(T272)'!F11</f>
        <v>100</v>
      </c>
      <c r="K22" s="130">
        <f t="shared" si="0"/>
        <v>0</v>
      </c>
      <c r="L22" s="130">
        <f>'ĐĐSang(T272)'!J5</f>
        <v>0</v>
      </c>
      <c r="M22" s="131">
        <f>'ĐĐSang(T272)'!J13+'ĐĐSang(T272)'!J14</f>
        <v>0</v>
      </c>
      <c r="N22" s="132">
        <f>'ĐĐSang(T272)'!J15</f>
        <v>0</v>
      </c>
      <c r="O22" s="131">
        <f>'ĐĐSang(T272)'!J16</f>
        <v>0</v>
      </c>
      <c r="P22" s="132">
        <f>'ĐĐSang(T272)'!J17</f>
        <v>0</v>
      </c>
      <c r="Q22" s="133">
        <f>'ĐĐSang(T272)'!J22</f>
        <v>0</v>
      </c>
      <c r="R22" s="134"/>
    </row>
    <row r="23" spans="1:18" ht="75" x14ac:dyDescent="0.25">
      <c r="A23" s="125">
        <v>15</v>
      </c>
      <c r="B23" s="135" t="str">
        <f>'LATuấn(T96)'!B4</f>
        <v>Hộ ông Lê Anh Tuấn</v>
      </c>
      <c r="C23" s="127" t="str">
        <f>'LATuấn(T96)'!B14</f>
        <v xml:space="preserve">Tổ dân phố Vĩnh Xuân, Phường Nam Nha Trang, tỉnh Khánh Hòa </v>
      </c>
      <c r="D23" s="128" t="s">
        <v>371</v>
      </c>
      <c r="E23" s="129">
        <f>'LATuấn(T96)'!F6</f>
        <v>200</v>
      </c>
      <c r="F23" s="129">
        <f>'LATuấn(T96)'!F7</f>
        <v>200</v>
      </c>
      <c r="G23" s="129">
        <v>0</v>
      </c>
      <c r="H23" s="129">
        <v>0</v>
      </c>
      <c r="I23" s="129">
        <v>0</v>
      </c>
      <c r="J23" s="129">
        <f>'LATuấn(T96)'!F11</f>
        <v>200</v>
      </c>
      <c r="K23" s="130">
        <f t="shared" si="0"/>
        <v>122579023</v>
      </c>
      <c r="L23" s="130">
        <f>'LATuấn(T96)'!J5</f>
        <v>0</v>
      </c>
      <c r="M23" s="131">
        <f>'LATuấn(T96)'!J13+'LATuấn(T96)'!J25</f>
        <v>122243023</v>
      </c>
      <c r="N23" s="132">
        <f>'LATuấn(T96)'!J26</f>
        <v>336000</v>
      </c>
      <c r="O23" s="131">
        <f>'LATuấn(T96)'!J29</f>
        <v>0</v>
      </c>
      <c r="P23" s="132">
        <f>'LATuấn(T96)'!J30</f>
        <v>0</v>
      </c>
      <c r="Q23" s="133">
        <f>'LATuấn(T96)'!J35</f>
        <v>8000000</v>
      </c>
      <c r="R23" s="134"/>
    </row>
    <row r="24" spans="1:18" ht="75" x14ac:dyDescent="0.25">
      <c r="A24" s="125">
        <v>16</v>
      </c>
      <c r="B24" s="135" t="str">
        <f>'LATuấn(T97)'!B4</f>
        <v>Hộ ông Lê Anh Tuấn</v>
      </c>
      <c r="C24" s="127" t="str">
        <f>'LATuấn(T97)'!B14</f>
        <v xml:space="preserve">Tổ dân phố Vĩnh Xuân, Phường Nam Nha Trang, tỉnh Khánh Hòa </v>
      </c>
      <c r="D24" s="128" t="s">
        <v>374</v>
      </c>
      <c r="E24" s="129">
        <f>'LATuấn(T97)'!F6</f>
        <v>200.6</v>
      </c>
      <c r="F24" s="129">
        <f>'LATuấn(T97)'!F7</f>
        <v>200.6</v>
      </c>
      <c r="G24" s="129">
        <v>0</v>
      </c>
      <c r="H24" s="129">
        <v>0</v>
      </c>
      <c r="I24" s="129">
        <v>0</v>
      </c>
      <c r="J24" s="129">
        <f>'LATuấn(T97)'!F11</f>
        <v>200.6</v>
      </c>
      <c r="K24" s="130">
        <f t="shared" si="0"/>
        <v>101000</v>
      </c>
      <c r="L24" s="130">
        <f>'LATuấn(T97)'!J5</f>
        <v>0</v>
      </c>
      <c r="M24" s="131">
        <f>'LATuấn(T97)'!J13+'LATuấn(T97)'!J14</f>
        <v>0</v>
      </c>
      <c r="N24" s="132">
        <f>'LATuấn(T97)'!J15</f>
        <v>101000</v>
      </c>
      <c r="O24" s="131">
        <f>'LATuấn(T97)'!J19</f>
        <v>0</v>
      </c>
      <c r="P24" s="132">
        <f>'LATuấn(T97)'!J20</f>
        <v>0</v>
      </c>
      <c r="Q24" s="133">
        <f>'LATuấn(T97)'!J25</f>
        <v>0</v>
      </c>
      <c r="R24" s="134"/>
    </row>
    <row r="25" spans="1:18" ht="75" x14ac:dyDescent="0.25">
      <c r="A25" s="125">
        <v>17</v>
      </c>
      <c r="B25" s="135" t="str">
        <f>'LATuấn(T262)'!B4</f>
        <v>Hộ ông Lê Anh Tuấn</v>
      </c>
      <c r="C25" s="127" t="str">
        <f>'LATuấn(T262)'!B12</f>
        <v xml:space="preserve">Tổ dân phố Vĩnh Xuân, Phường Nam Nha Trang, tỉnh Khánh Hòa </v>
      </c>
      <c r="D25" s="128" t="s">
        <v>375</v>
      </c>
      <c r="E25" s="129">
        <f>'LATuấn(T262)'!F6</f>
        <v>900</v>
      </c>
      <c r="F25" s="129">
        <f>'LATuấn(T262)'!F7</f>
        <v>900</v>
      </c>
      <c r="G25" s="129">
        <v>0</v>
      </c>
      <c r="H25" s="129">
        <v>0</v>
      </c>
      <c r="I25" s="129">
        <v>0</v>
      </c>
      <c r="J25" s="129">
        <f>'LATuấn(T262)'!F11</f>
        <v>900</v>
      </c>
      <c r="K25" s="130">
        <f t="shared" si="0"/>
        <v>414000</v>
      </c>
      <c r="L25" s="130">
        <f>'LATuấn(T262)'!J5</f>
        <v>0</v>
      </c>
      <c r="M25" s="131">
        <f>'LATuấn(T262)'!J13+'LATuấn(T262)'!J14</f>
        <v>0</v>
      </c>
      <c r="N25" s="132">
        <f>'LATuấn(T262)'!J15</f>
        <v>414000</v>
      </c>
      <c r="O25" s="131">
        <f>'LATuấn(T262)'!J19</f>
        <v>0</v>
      </c>
      <c r="P25" s="132">
        <f>'LATuấn(T262)'!J20</f>
        <v>0</v>
      </c>
      <c r="Q25" s="133">
        <f>'LATuấn(T262)'!J25</f>
        <v>0</v>
      </c>
      <c r="R25" s="134"/>
    </row>
    <row r="26" spans="1:18" ht="75" x14ac:dyDescent="0.25">
      <c r="A26" s="125">
        <v>18</v>
      </c>
      <c r="B26" s="135" t="str">
        <f>'LATuấn(T288)'!B4</f>
        <v>Hộ ông Lê Anh Tuấn</v>
      </c>
      <c r="C26" s="127" t="str">
        <f>'LATuấn(T288)'!B12</f>
        <v xml:space="preserve">Tổ dân phố Vĩnh Xuân, Phường Nam Nha Trang, tỉnh Khánh Hòa </v>
      </c>
      <c r="D26" s="128" t="s">
        <v>376</v>
      </c>
      <c r="E26" s="129">
        <f>'LATuấn(T288)'!F6</f>
        <v>300.39999999999998</v>
      </c>
      <c r="F26" s="129">
        <f>'LATuấn(T288)'!F7</f>
        <v>300.39999999999998</v>
      </c>
      <c r="G26" s="129">
        <v>0</v>
      </c>
      <c r="H26" s="129">
        <v>0</v>
      </c>
      <c r="I26" s="129">
        <v>0</v>
      </c>
      <c r="J26" s="129">
        <f>'LATuấn(T288)'!F11</f>
        <v>300.39999999999998</v>
      </c>
      <c r="K26" s="130">
        <f t="shared" si="0"/>
        <v>1204000</v>
      </c>
      <c r="L26" s="130">
        <f>'LATuấn(T288)'!J5</f>
        <v>0</v>
      </c>
      <c r="M26" s="131">
        <f>'LATuấn(T288)'!J13+'LATuấn(T288)'!J14</f>
        <v>0</v>
      </c>
      <c r="N26" s="132">
        <f>'LATuấn(T288)'!J15</f>
        <v>1204000</v>
      </c>
      <c r="O26" s="131">
        <f>'LATuấn(T288)'!J19</f>
        <v>0</v>
      </c>
      <c r="P26" s="132">
        <f>'LATuấn(T288)'!J20</f>
        <v>0</v>
      </c>
      <c r="Q26" s="133">
        <f>'LATuấn(T288)'!J25</f>
        <v>0</v>
      </c>
      <c r="R26" s="134"/>
    </row>
    <row r="27" spans="1:18" ht="75" x14ac:dyDescent="0.25">
      <c r="A27" s="125">
        <v>19</v>
      </c>
      <c r="B27" s="135" t="str">
        <f>'LATuấn(T290)'!B4</f>
        <v>Hộ ông Lê Anh Tuấn</v>
      </c>
      <c r="C27" s="127" t="str">
        <f>'LATuấn(T290)'!B12</f>
        <v xml:space="preserve">Tổ dân phố Vĩnh Xuân, Phường Nam Nha Trang, tỉnh Khánh Hòa </v>
      </c>
      <c r="D27" s="128" t="s">
        <v>377</v>
      </c>
      <c r="E27" s="129">
        <f>'LATuấn(T290)'!F6</f>
        <v>400</v>
      </c>
      <c r="F27" s="129">
        <f>'LATuấn(T290)'!F7</f>
        <v>400</v>
      </c>
      <c r="G27" s="129">
        <v>0</v>
      </c>
      <c r="H27" s="129">
        <v>0</v>
      </c>
      <c r="I27" s="129">
        <v>0</v>
      </c>
      <c r="J27" s="129">
        <f>'LATuấn(T290)'!F11</f>
        <v>400</v>
      </c>
      <c r="K27" s="130">
        <f t="shared" si="0"/>
        <v>106000</v>
      </c>
      <c r="L27" s="130">
        <f>'LATuấn(T290)'!J5</f>
        <v>0</v>
      </c>
      <c r="M27" s="131">
        <f>'LATuấn(T290)'!J13+'LATuấn(T290)'!J14</f>
        <v>0</v>
      </c>
      <c r="N27" s="132">
        <f>'LATuấn(T290)'!J15</f>
        <v>106000</v>
      </c>
      <c r="O27" s="131">
        <f>'LATuấn(T290)'!J18</f>
        <v>0</v>
      </c>
      <c r="P27" s="132">
        <f>'LATuấn(T290)'!J19</f>
        <v>0</v>
      </c>
      <c r="Q27" s="133">
        <f>'LATuấn(T290)'!J24</f>
        <v>0</v>
      </c>
      <c r="R27" s="134"/>
    </row>
    <row r="28" spans="1:18" s="142" customFormat="1" ht="18.75" x14ac:dyDescent="0.25">
      <c r="A28" s="137"/>
      <c r="B28" s="138" t="s">
        <v>99</v>
      </c>
      <c r="C28" s="138"/>
      <c r="D28" s="138"/>
      <c r="E28" s="139">
        <f t="shared" ref="E28:Q28" si="1">SUM(E9:E27)</f>
        <v>4490.3999999999996</v>
      </c>
      <c r="F28" s="139">
        <f t="shared" si="1"/>
        <v>3998.8</v>
      </c>
      <c r="G28" s="139">
        <f t="shared" si="1"/>
        <v>0</v>
      </c>
      <c r="H28" s="139">
        <f t="shared" si="1"/>
        <v>0</v>
      </c>
      <c r="I28" s="139">
        <f t="shared" si="1"/>
        <v>0</v>
      </c>
      <c r="J28" s="139">
        <f t="shared" si="1"/>
        <v>3998.8</v>
      </c>
      <c r="K28" s="140">
        <f t="shared" si="1"/>
        <v>2108327165</v>
      </c>
      <c r="L28" s="140">
        <f t="shared" si="1"/>
        <v>0</v>
      </c>
      <c r="M28" s="141">
        <f t="shared" si="1"/>
        <v>2040728165</v>
      </c>
      <c r="N28" s="140">
        <f t="shared" si="1"/>
        <v>67599000</v>
      </c>
      <c r="O28" s="141">
        <f t="shared" si="1"/>
        <v>0</v>
      </c>
      <c r="P28" s="140">
        <f t="shared" si="1"/>
        <v>0</v>
      </c>
      <c r="Q28" s="140">
        <f t="shared" si="1"/>
        <v>76608245.699999988</v>
      </c>
    </row>
    <row r="30" spans="1:18" ht="25.5" x14ac:dyDescent="0.25">
      <c r="B30" s="143" t="s">
        <v>100</v>
      </c>
      <c r="C30" s="143"/>
      <c r="D30" s="143"/>
      <c r="E30" s="143"/>
      <c r="F30" s="143"/>
      <c r="G30" s="143"/>
      <c r="H30" s="143"/>
      <c r="I30" s="143"/>
      <c r="J30" s="143"/>
      <c r="K30" s="375" t="s">
        <v>378</v>
      </c>
      <c r="L30" s="375"/>
    </row>
    <row r="31" spans="1:18" ht="25.5" x14ac:dyDescent="0.25">
      <c r="B31" s="143" t="s">
        <v>101</v>
      </c>
      <c r="C31" s="143"/>
      <c r="D31" s="143"/>
      <c r="E31" s="143"/>
      <c r="F31" s="143"/>
      <c r="G31" s="143"/>
      <c r="H31" s="143"/>
      <c r="I31" s="143"/>
      <c r="J31" s="143"/>
      <c r="K31" s="358">
        <f>K28</f>
        <v>2108327165</v>
      </c>
      <c r="L31" s="358"/>
      <c r="M31" s="376" t="s">
        <v>411</v>
      </c>
      <c r="N31" s="376"/>
      <c r="Q31" s="144"/>
    </row>
    <row r="32" spans="1:18" ht="25.5" x14ac:dyDescent="0.25">
      <c r="B32" s="143" t="s">
        <v>102</v>
      </c>
      <c r="C32" s="143"/>
      <c r="D32" s="143"/>
      <c r="E32" s="143"/>
      <c r="F32" s="143"/>
      <c r="G32" s="143"/>
      <c r="H32" s="143"/>
      <c r="I32" s="143"/>
      <c r="J32" s="143"/>
      <c r="K32" s="358">
        <f>K31*3%</f>
        <v>63249814.949999996</v>
      </c>
      <c r="L32" s="358"/>
      <c r="M32" s="376" t="s">
        <v>411</v>
      </c>
      <c r="N32" s="376"/>
    </row>
    <row r="33" spans="1:250" ht="25.5" x14ac:dyDescent="0.25">
      <c r="B33" s="143" t="s">
        <v>103</v>
      </c>
      <c r="C33" s="143"/>
      <c r="D33" s="143"/>
      <c r="E33" s="143"/>
      <c r="F33" s="143"/>
      <c r="G33" s="143"/>
      <c r="H33" s="143"/>
      <c r="I33" s="143"/>
      <c r="J33" s="143"/>
      <c r="K33" s="145"/>
      <c r="L33" s="145">
        <f>Q28</f>
        <v>76608245.699999988</v>
      </c>
      <c r="M33" s="376" t="s">
        <v>411</v>
      </c>
      <c r="N33" s="376"/>
    </row>
    <row r="34" spans="1:250" ht="25.5" x14ac:dyDescent="0.25">
      <c r="B34" s="143" t="s">
        <v>104</v>
      </c>
      <c r="C34" s="143"/>
      <c r="D34" s="143"/>
      <c r="E34" s="143"/>
      <c r="F34" s="143"/>
      <c r="G34" s="143"/>
      <c r="H34" s="143"/>
      <c r="I34" s="143"/>
      <c r="J34" s="143"/>
      <c r="K34" s="358">
        <f>K31+K32+L33</f>
        <v>2248185225.6499996</v>
      </c>
      <c r="L34" s="358"/>
      <c r="M34" s="376" t="s">
        <v>411</v>
      </c>
      <c r="N34" s="376"/>
    </row>
    <row r="35" spans="1:250" ht="27" x14ac:dyDescent="0.25">
      <c r="B35" s="146" t="s">
        <v>105</v>
      </c>
      <c r="C35" s="147" t="s">
        <v>485</v>
      </c>
      <c r="D35" s="146"/>
      <c r="E35" s="146"/>
      <c r="F35" s="146"/>
      <c r="G35" s="146"/>
      <c r="H35" s="148"/>
      <c r="I35" s="148"/>
      <c r="J35" s="148"/>
      <c r="K35" s="148"/>
    </row>
    <row r="37" spans="1:250" s="155" customFormat="1" ht="28.5" x14ac:dyDescent="0.4">
      <c r="A37" s="149"/>
      <c r="B37" s="150"/>
      <c r="C37" s="151"/>
      <c r="D37" s="151"/>
      <c r="E37" s="151"/>
      <c r="F37" s="150"/>
      <c r="G37" s="152"/>
      <c r="H37" s="152"/>
      <c r="I37" s="153"/>
      <c r="J37" s="154"/>
      <c r="K37" s="154"/>
      <c r="L37" s="378" t="s">
        <v>486</v>
      </c>
      <c r="M37" s="378"/>
      <c r="N37" s="378"/>
      <c r="O37" s="378"/>
      <c r="P37" s="378"/>
      <c r="Q37" s="37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149"/>
      <c r="AZ37" s="149"/>
      <c r="BA37" s="149"/>
      <c r="BB37" s="149"/>
      <c r="BC37" s="149"/>
      <c r="BD37" s="149"/>
      <c r="BE37" s="149"/>
      <c r="BF37" s="149"/>
      <c r="BG37" s="149"/>
      <c r="BH37" s="149"/>
      <c r="BI37" s="149"/>
      <c r="BJ37" s="149"/>
      <c r="BK37" s="149"/>
      <c r="BL37" s="149"/>
      <c r="BM37" s="149"/>
      <c r="BN37" s="149"/>
      <c r="BO37" s="149"/>
      <c r="BP37" s="149"/>
      <c r="BQ37" s="149"/>
      <c r="BR37" s="149"/>
      <c r="BS37" s="149"/>
      <c r="BT37" s="149"/>
      <c r="BU37" s="149"/>
      <c r="BV37" s="149"/>
      <c r="BW37" s="149"/>
      <c r="BX37" s="149"/>
      <c r="BY37" s="149"/>
      <c r="BZ37" s="149"/>
      <c r="CA37" s="149"/>
      <c r="CB37" s="149"/>
      <c r="CC37" s="149"/>
      <c r="CD37" s="149"/>
      <c r="CE37" s="149"/>
      <c r="CF37" s="149"/>
      <c r="CG37" s="149"/>
      <c r="CH37" s="149"/>
      <c r="CI37" s="149"/>
      <c r="CJ37" s="149"/>
      <c r="CK37" s="149"/>
      <c r="CL37" s="149"/>
      <c r="CM37" s="149"/>
      <c r="CN37" s="149"/>
      <c r="CO37" s="149"/>
      <c r="CP37" s="149"/>
      <c r="CQ37" s="149"/>
      <c r="CR37" s="149"/>
      <c r="CS37" s="149"/>
      <c r="CT37" s="149"/>
      <c r="CU37" s="149"/>
      <c r="CV37" s="149"/>
      <c r="CW37" s="149"/>
      <c r="CX37" s="149"/>
      <c r="CY37" s="149"/>
      <c r="CZ37" s="149"/>
      <c r="DA37" s="149"/>
      <c r="DB37" s="149"/>
      <c r="DC37" s="149"/>
      <c r="DD37" s="149"/>
      <c r="DE37" s="149"/>
      <c r="DF37" s="149"/>
      <c r="DG37" s="149"/>
      <c r="DH37" s="149"/>
      <c r="DI37" s="149"/>
      <c r="DJ37" s="149"/>
      <c r="DK37" s="149"/>
      <c r="DL37" s="149"/>
      <c r="DM37" s="149"/>
      <c r="DN37" s="149"/>
      <c r="DO37" s="149"/>
      <c r="DP37" s="149"/>
      <c r="DQ37" s="149"/>
      <c r="DR37" s="149"/>
      <c r="DS37" s="149"/>
      <c r="DT37" s="149"/>
      <c r="DU37" s="149"/>
      <c r="DV37" s="149"/>
      <c r="DW37" s="149"/>
      <c r="DX37" s="149"/>
      <c r="DY37" s="149"/>
      <c r="DZ37" s="149"/>
      <c r="EA37" s="149"/>
      <c r="EB37" s="149"/>
      <c r="EC37" s="149"/>
      <c r="ED37" s="149"/>
      <c r="EE37" s="149"/>
      <c r="EF37" s="149"/>
      <c r="EG37" s="149"/>
      <c r="EH37" s="149"/>
      <c r="EI37" s="149"/>
      <c r="EJ37" s="149"/>
      <c r="EK37" s="149"/>
      <c r="EL37" s="149"/>
      <c r="EM37" s="149"/>
      <c r="EN37" s="149"/>
      <c r="EO37" s="149"/>
      <c r="EP37" s="149"/>
      <c r="EQ37" s="149"/>
      <c r="ER37" s="149"/>
      <c r="ES37" s="149"/>
      <c r="ET37" s="149"/>
      <c r="EU37" s="149"/>
      <c r="EV37" s="149"/>
      <c r="EW37" s="149"/>
      <c r="EX37" s="149"/>
      <c r="EY37" s="149"/>
      <c r="EZ37" s="149"/>
      <c r="FA37" s="149"/>
      <c r="FB37" s="149"/>
      <c r="FC37" s="149"/>
      <c r="FD37" s="149"/>
      <c r="FE37" s="149"/>
      <c r="FF37" s="149"/>
      <c r="FG37" s="149"/>
      <c r="FH37" s="149"/>
      <c r="FI37" s="149"/>
      <c r="FJ37" s="149"/>
      <c r="FK37" s="149"/>
      <c r="FL37" s="149"/>
      <c r="FM37" s="149"/>
      <c r="FN37" s="149"/>
      <c r="FO37" s="149"/>
      <c r="FP37" s="149"/>
      <c r="FQ37" s="149"/>
      <c r="FR37" s="149"/>
      <c r="FS37" s="149"/>
      <c r="FT37" s="149"/>
      <c r="FU37" s="149"/>
      <c r="FV37" s="149"/>
      <c r="FW37" s="149"/>
      <c r="FX37" s="149"/>
      <c r="FY37" s="149"/>
      <c r="FZ37" s="149"/>
      <c r="GA37" s="149"/>
      <c r="GB37" s="149"/>
      <c r="GC37" s="149"/>
      <c r="GD37" s="149"/>
      <c r="GE37" s="149"/>
      <c r="GF37" s="149"/>
      <c r="GG37" s="149"/>
      <c r="GH37" s="149"/>
      <c r="GI37" s="149"/>
      <c r="GJ37" s="149"/>
      <c r="GK37" s="149"/>
      <c r="GL37" s="149"/>
      <c r="GM37" s="149"/>
      <c r="GN37" s="149"/>
      <c r="GO37" s="149"/>
      <c r="GP37" s="149"/>
      <c r="GQ37" s="149"/>
      <c r="GR37" s="149"/>
      <c r="GS37" s="149"/>
      <c r="GT37" s="149"/>
      <c r="GU37" s="149"/>
      <c r="GV37" s="149"/>
      <c r="GW37" s="149"/>
      <c r="GX37" s="149"/>
      <c r="GY37" s="149"/>
      <c r="GZ37" s="149"/>
      <c r="HA37" s="149"/>
      <c r="HB37" s="149"/>
      <c r="HC37" s="149"/>
      <c r="HD37" s="149"/>
      <c r="HE37" s="149"/>
      <c r="HF37" s="149"/>
      <c r="HG37" s="149"/>
      <c r="HH37" s="149"/>
      <c r="HI37" s="149"/>
      <c r="HJ37" s="149"/>
      <c r="HK37" s="149"/>
      <c r="HL37" s="149"/>
      <c r="HM37" s="149"/>
      <c r="HN37" s="149"/>
      <c r="HO37" s="149"/>
      <c r="HP37" s="149"/>
      <c r="HQ37" s="149"/>
      <c r="HR37" s="149"/>
      <c r="HS37" s="149"/>
      <c r="HT37" s="149"/>
      <c r="HU37" s="149"/>
      <c r="HV37" s="149"/>
      <c r="HW37" s="149"/>
      <c r="HX37" s="149"/>
      <c r="HY37" s="149"/>
      <c r="HZ37" s="149"/>
      <c r="IA37" s="149"/>
      <c r="IB37" s="149"/>
      <c r="IC37" s="149"/>
      <c r="ID37" s="149"/>
      <c r="IE37" s="149"/>
      <c r="IF37" s="149"/>
      <c r="IG37" s="149"/>
      <c r="IH37" s="149"/>
      <c r="II37" s="149"/>
      <c r="IJ37" s="149"/>
      <c r="IK37" s="149"/>
      <c r="IL37" s="149"/>
      <c r="IM37" s="149"/>
      <c r="IN37" s="149"/>
      <c r="IO37" s="149"/>
      <c r="IP37" s="149"/>
    </row>
    <row r="38" spans="1:250" s="155" customFormat="1" ht="26.25" x14ac:dyDescent="0.4">
      <c r="A38" s="149"/>
      <c r="B38" s="154"/>
      <c r="C38" s="154"/>
      <c r="D38" s="154"/>
      <c r="E38" s="154"/>
      <c r="F38" s="154"/>
      <c r="G38" s="154"/>
      <c r="H38" s="154"/>
      <c r="I38" s="154"/>
      <c r="J38" s="154"/>
      <c r="K38" s="154"/>
      <c r="L38" s="380" t="s">
        <v>106</v>
      </c>
      <c r="M38" s="380"/>
      <c r="N38" s="380"/>
      <c r="O38" s="380"/>
      <c r="P38" s="380"/>
      <c r="Q38" s="381"/>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c r="AY38" s="149"/>
      <c r="AZ38" s="149"/>
      <c r="BA38" s="149"/>
      <c r="BB38" s="149"/>
      <c r="BC38" s="149"/>
      <c r="BD38" s="149"/>
      <c r="BE38" s="149"/>
      <c r="BF38" s="149"/>
      <c r="BG38" s="149"/>
      <c r="BH38" s="149"/>
      <c r="BI38" s="149"/>
      <c r="BJ38" s="149"/>
      <c r="BK38" s="149"/>
      <c r="BL38" s="149"/>
      <c r="BM38" s="149"/>
      <c r="BN38" s="149"/>
      <c r="BO38" s="149"/>
      <c r="BP38" s="149"/>
      <c r="BQ38" s="149"/>
      <c r="BR38" s="149"/>
      <c r="BS38" s="149"/>
      <c r="BT38" s="149"/>
      <c r="BU38" s="149"/>
      <c r="BV38" s="149"/>
      <c r="BW38" s="149"/>
      <c r="BX38" s="149"/>
      <c r="BY38" s="149"/>
      <c r="BZ38" s="149"/>
      <c r="CA38" s="149"/>
      <c r="CB38" s="149"/>
      <c r="CC38" s="149"/>
      <c r="CD38" s="149"/>
      <c r="CE38" s="149"/>
      <c r="CF38" s="149"/>
      <c r="CG38" s="149"/>
      <c r="CH38" s="149"/>
      <c r="CI38" s="149"/>
      <c r="CJ38" s="149"/>
      <c r="CK38" s="149"/>
      <c r="CL38" s="149"/>
      <c r="CM38" s="149"/>
      <c r="CN38" s="149"/>
      <c r="CO38" s="149"/>
      <c r="CP38" s="149"/>
      <c r="CQ38" s="149"/>
      <c r="CR38" s="149"/>
      <c r="CS38" s="149"/>
      <c r="CT38" s="149"/>
      <c r="CU38" s="149"/>
      <c r="CV38" s="149"/>
      <c r="CW38" s="149"/>
      <c r="CX38" s="149"/>
      <c r="CY38" s="149"/>
      <c r="CZ38" s="149"/>
      <c r="DA38" s="149"/>
      <c r="DB38" s="149"/>
      <c r="DC38" s="149"/>
      <c r="DD38" s="149"/>
      <c r="DE38" s="149"/>
      <c r="DF38" s="149"/>
      <c r="DG38" s="149"/>
      <c r="DH38" s="149"/>
      <c r="DI38" s="149"/>
      <c r="DJ38" s="149"/>
      <c r="DK38" s="149"/>
      <c r="DL38" s="149"/>
      <c r="DM38" s="149"/>
      <c r="DN38" s="149"/>
      <c r="DO38" s="149"/>
      <c r="DP38" s="149"/>
      <c r="DQ38" s="149"/>
      <c r="DR38" s="149"/>
      <c r="DS38" s="149"/>
      <c r="DT38" s="149"/>
      <c r="DU38" s="149"/>
      <c r="DV38" s="149"/>
      <c r="DW38" s="149"/>
      <c r="DX38" s="149"/>
      <c r="DY38" s="149"/>
      <c r="DZ38" s="149"/>
      <c r="EA38" s="149"/>
      <c r="EB38" s="149"/>
      <c r="EC38" s="149"/>
      <c r="ED38" s="149"/>
      <c r="EE38" s="149"/>
      <c r="EF38" s="149"/>
      <c r="EG38" s="149"/>
      <c r="EH38" s="149"/>
      <c r="EI38" s="149"/>
      <c r="EJ38" s="149"/>
      <c r="EK38" s="149"/>
      <c r="EL38" s="149"/>
      <c r="EM38" s="149"/>
      <c r="EN38" s="149"/>
      <c r="EO38" s="149"/>
      <c r="EP38" s="149"/>
      <c r="EQ38" s="149"/>
      <c r="ER38" s="149"/>
      <c r="ES38" s="149"/>
      <c r="ET38" s="149"/>
      <c r="EU38" s="149"/>
      <c r="EV38" s="149"/>
      <c r="EW38" s="149"/>
      <c r="EX38" s="149"/>
      <c r="EY38" s="149"/>
      <c r="EZ38" s="149"/>
      <c r="FA38" s="149"/>
      <c r="FB38" s="149"/>
      <c r="FC38" s="149"/>
      <c r="FD38" s="149"/>
      <c r="FE38" s="149"/>
      <c r="FF38" s="149"/>
      <c r="FG38" s="149"/>
      <c r="FH38" s="149"/>
      <c r="FI38" s="149"/>
      <c r="FJ38" s="149"/>
      <c r="FK38" s="149"/>
      <c r="FL38" s="149"/>
      <c r="FM38" s="149"/>
      <c r="FN38" s="149"/>
      <c r="FO38" s="149"/>
      <c r="FP38" s="149"/>
      <c r="FQ38" s="149"/>
      <c r="FR38" s="149"/>
      <c r="FS38" s="149"/>
      <c r="FT38" s="149"/>
      <c r="FU38" s="149"/>
      <c r="FV38" s="149"/>
      <c r="FW38" s="149"/>
      <c r="FX38" s="149"/>
      <c r="FY38" s="149"/>
      <c r="FZ38" s="149"/>
      <c r="GA38" s="149"/>
      <c r="GB38" s="149"/>
      <c r="GC38" s="149"/>
      <c r="GD38" s="149"/>
      <c r="GE38" s="149"/>
      <c r="GF38" s="149"/>
      <c r="GG38" s="149"/>
      <c r="GH38" s="149"/>
      <c r="GI38" s="149"/>
      <c r="GJ38" s="149"/>
      <c r="GK38" s="149"/>
      <c r="GL38" s="149"/>
      <c r="GM38" s="149"/>
      <c r="GN38" s="149"/>
      <c r="GO38" s="149"/>
      <c r="GP38" s="149"/>
      <c r="GQ38" s="149"/>
      <c r="GR38" s="149"/>
      <c r="GS38" s="149"/>
      <c r="GT38" s="149"/>
      <c r="GU38" s="149"/>
      <c r="GV38" s="149"/>
      <c r="GW38" s="149"/>
      <c r="GX38" s="149"/>
      <c r="GY38" s="149"/>
      <c r="GZ38" s="149"/>
      <c r="HA38" s="149"/>
      <c r="HB38" s="149"/>
      <c r="HC38" s="149"/>
      <c r="HD38" s="149"/>
      <c r="HE38" s="149"/>
      <c r="HF38" s="149"/>
      <c r="HG38" s="149"/>
      <c r="HH38" s="149"/>
      <c r="HI38" s="149"/>
      <c r="HJ38" s="149"/>
      <c r="HK38" s="149"/>
      <c r="HL38" s="149"/>
      <c r="HM38" s="149"/>
      <c r="HN38" s="149"/>
      <c r="HO38" s="149"/>
      <c r="HP38" s="149"/>
      <c r="HQ38" s="149"/>
      <c r="HR38" s="149"/>
      <c r="HS38" s="149"/>
      <c r="HT38" s="149"/>
      <c r="HU38" s="149"/>
      <c r="HV38" s="149"/>
      <c r="HW38" s="149"/>
      <c r="HX38" s="149"/>
      <c r="HY38" s="149"/>
      <c r="HZ38" s="149"/>
      <c r="IA38" s="149"/>
      <c r="IB38" s="149"/>
      <c r="IC38" s="149"/>
      <c r="ID38" s="149"/>
      <c r="IE38" s="149"/>
      <c r="IF38" s="149"/>
      <c r="IG38" s="149"/>
      <c r="IH38" s="149"/>
      <c r="II38" s="149"/>
      <c r="IJ38" s="149"/>
      <c r="IK38" s="149"/>
      <c r="IL38" s="149"/>
      <c r="IM38" s="149"/>
      <c r="IN38" s="149"/>
      <c r="IO38" s="149"/>
      <c r="IP38" s="149"/>
    </row>
    <row r="39" spans="1:250" ht="27" x14ac:dyDescent="0.25">
      <c r="A39" s="378" t="s">
        <v>107</v>
      </c>
      <c r="B39" s="378"/>
      <c r="C39" s="378"/>
      <c r="D39" s="378" t="s">
        <v>108</v>
      </c>
      <c r="E39" s="378"/>
      <c r="F39" s="378"/>
      <c r="H39" s="378" t="s">
        <v>109</v>
      </c>
      <c r="I39" s="378"/>
      <c r="J39" s="378"/>
      <c r="L39" s="380" t="s">
        <v>110</v>
      </c>
      <c r="M39" s="380"/>
      <c r="N39" s="380"/>
      <c r="O39" s="380"/>
      <c r="P39" s="380"/>
      <c r="Q39" s="381"/>
    </row>
    <row r="50" spans="1:17" ht="28.5" x14ac:dyDescent="0.25">
      <c r="A50" s="377" t="s">
        <v>111</v>
      </c>
      <c r="B50" s="377"/>
      <c r="C50" s="377"/>
      <c r="D50" s="378" t="s">
        <v>379</v>
      </c>
      <c r="E50" s="378"/>
      <c r="F50" s="378"/>
      <c r="H50" s="378" t="s">
        <v>112</v>
      </c>
      <c r="I50" s="378"/>
      <c r="J50" s="378"/>
      <c r="L50" s="378" t="s">
        <v>113</v>
      </c>
      <c r="M50" s="378"/>
      <c r="N50" s="378"/>
      <c r="O50" s="378"/>
      <c r="P50" s="378"/>
      <c r="Q50" s="379"/>
    </row>
    <row r="59" spans="1:17" x14ac:dyDescent="0.25">
      <c r="K59" s="156">
        <v>0.05</v>
      </c>
      <c r="L59" s="157">
        <f>K32*5%</f>
        <v>3162490.7475000001</v>
      </c>
    </row>
    <row r="60" spans="1:17" x14ac:dyDescent="0.25">
      <c r="K60" s="156">
        <v>0.03</v>
      </c>
      <c r="L60" s="157">
        <f>K32*3%</f>
        <v>1897494.4484999997</v>
      </c>
    </row>
    <row r="61" spans="1:17" x14ac:dyDescent="0.25">
      <c r="K61" s="156">
        <v>0.01</v>
      </c>
      <c r="L61" s="157">
        <f>K32*1%</f>
        <v>632498.14949999994</v>
      </c>
    </row>
  </sheetData>
  <mergeCells count="31">
    <mergeCell ref="M31:N31"/>
    <mergeCell ref="A50:C50"/>
    <mergeCell ref="D50:F50"/>
    <mergeCell ref="H50:J50"/>
    <mergeCell ref="L50:Q50"/>
    <mergeCell ref="K34:L34"/>
    <mergeCell ref="L37:Q37"/>
    <mergeCell ref="L38:Q38"/>
    <mergeCell ref="A39:C39"/>
    <mergeCell ref="D39:F39"/>
    <mergeCell ref="H39:J39"/>
    <mergeCell ref="L39:Q39"/>
    <mergeCell ref="M32:N32"/>
    <mergeCell ref="M33:N33"/>
    <mergeCell ref="M34:N34"/>
    <mergeCell ref="K32:L32"/>
    <mergeCell ref="B1:D1"/>
    <mergeCell ref="M1:Q1"/>
    <mergeCell ref="B2:D2"/>
    <mergeCell ref="M2:Q2"/>
    <mergeCell ref="A4:Q5"/>
    <mergeCell ref="A6:A7"/>
    <mergeCell ref="B6:B7"/>
    <mergeCell ref="C6:C7"/>
    <mergeCell ref="D6:D7"/>
    <mergeCell ref="E6:E7"/>
    <mergeCell ref="F6:J6"/>
    <mergeCell ref="K6:P6"/>
    <mergeCell ref="Q6:Q7"/>
    <mergeCell ref="K30:L30"/>
    <mergeCell ref="K31:L31"/>
  </mergeCells>
  <pageMargins left="0.7" right="0.7" top="0.75" bottom="0.75" header="0.3" footer="0.3"/>
  <pageSetup paperSize="9" scale="4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
  <sheetViews>
    <sheetView tabSelected="1" workbookViewId="0">
      <selection activeCell="I38" sqref="I38"/>
    </sheetView>
  </sheetViews>
  <sheetFormatPr defaultRowHeight="15" x14ac:dyDescent="0.25"/>
  <cols>
    <col min="16" max="16" width="15.42578125" customWidth="1"/>
  </cols>
  <sheetData>
    <row r="1" spans="1:16" ht="18.75" x14ac:dyDescent="0.25">
      <c r="A1" s="385"/>
      <c r="B1" s="385"/>
      <c r="C1" s="385"/>
      <c r="D1" s="385"/>
      <c r="E1" s="385"/>
      <c r="F1" s="385"/>
      <c r="G1" s="385"/>
      <c r="H1" s="385"/>
      <c r="I1" s="385"/>
      <c r="J1" s="385"/>
      <c r="K1" s="348"/>
      <c r="L1" s="349"/>
      <c r="M1" s="349"/>
      <c r="N1" s="349"/>
      <c r="O1" s="349"/>
      <c r="P1" s="349"/>
    </row>
    <row r="2" spans="1:16" ht="18.75" x14ac:dyDescent="0.3">
      <c r="A2" s="350" t="s">
        <v>490</v>
      </c>
      <c r="B2" s="351" t="s">
        <v>491</v>
      </c>
      <c r="C2" s="352"/>
      <c r="D2" s="351"/>
      <c r="E2" s="351"/>
      <c r="F2" s="353"/>
      <c r="G2" s="351"/>
      <c r="H2" s="351"/>
      <c r="I2" s="351"/>
      <c r="J2" s="351"/>
      <c r="K2" s="354"/>
      <c r="L2" s="355"/>
      <c r="M2" s="355"/>
      <c r="N2" s="355"/>
      <c r="O2" s="355"/>
      <c r="P2" s="355"/>
    </row>
    <row r="3" spans="1:16" ht="18.75" x14ac:dyDescent="0.3">
      <c r="A3" s="350" t="s">
        <v>492</v>
      </c>
      <c r="B3" s="351" t="s">
        <v>493</v>
      </c>
      <c r="C3" s="352"/>
      <c r="D3" s="351"/>
      <c r="E3" s="351"/>
      <c r="F3" s="353"/>
      <c r="G3" s="351"/>
      <c r="H3" s="351"/>
      <c r="I3" s="351"/>
      <c r="J3" s="351"/>
      <c r="K3" s="356"/>
      <c r="L3" s="355"/>
      <c r="M3" s="355"/>
      <c r="N3" s="355"/>
      <c r="O3" s="355"/>
      <c r="P3" s="355"/>
    </row>
    <row r="4" spans="1:16" ht="18.75" x14ac:dyDescent="0.25">
      <c r="A4" s="357" t="s">
        <v>494</v>
      </c>
      <c r="B4" s="386" t="s">
        <v>495</v>
      </c>
      <c r="C4" s="386"/>
      <c r="D4" s="386"/>
      <c r="E4" s="386"/>
      <c r="F4" s="386"/>
      <c r="G4" s="386"/>
      <c r="H4" s="386"/>
      <c r="I4" s="386"/>
      <c r="J4" s="386"/>
      <c r="K4" s="386"/>
      <c r="L4" s="386"/>
      <c r="M4" s="386"/>
      <c r="N4" s="386"/>
      <c r="O4" s="386"/>
      <c r="P4" s="386"/>
    </row>
    <row r="5" spans="1:16" ht="36.75" customHeight="1" x14ac:dyDescent="0.25">
      <c r="A5" s="357" t="s">
        <v>494</v>
      </c>
      <c r="B5" s="382" t="s">
        <v>496</v>
      </c>
      <c r="C5" s="382"/>
      <c r="D5" s="382"/>
      <c r="E5" s="382"/>
      <c r="F5" s="382"/>
      <c r="G5" s="382"/>
      <c r="H5" s="382"/>
      <c r="I5" s="382"/>
      <c r="J5" s="382"/>
      <c r="K5" s="382"/>
      <c r="L5" s="382"/>
      <c r="M5" s="382"/>
      <c r="N5" s="382"/>
      <c r="O5" s="382"/>
      <c r="P5" s="382"/>
    </row>
    <row r="6" spans="1:16" ht="27.75" customHeight="1" x14ac:dyDescent="0.25">
      <c r="A6" s="357" t="s">
        <v>494</v>
      </c>
      <c r="B6" s="382" t="s">
        <v>497</v>
      </c>
      <c r="C6" s="382"/>
      <c r="D6" s="382"/>
      <c r="E6" s="382"/>
      <c r="F6" s="382"/>
      <c r="G6" s="382"/>
      <c r="H6" s="382"/>
      <c r="I6" s="382"/>
      <c r="J6" s="382"/>
      <c r="K6" s="382"/>
      <c r="L6" s="382"/>
      <c r="M6" s="382"/>
      <c r="N6" s="382"/>
      <c r="O6" s="382"/>
      <c r="P6" s="382"/>
    </row>
    <row r="7" spans="1:16" ht="25.5" customHeight="1" x14ac:dyDescent="0.25">
      <c r="A7" s="357" t="s">
        <v>494</v>
      </c>
      <c r="B7" s="382" t="s">
        <v>498</v>
      </c>
      <c r="C7" s="382"/>
      <c r="D7" s="382"/>
      <c r="E7" s="382"/>
      <c r="F7" s="382"/>
      <c r="G7" s="382"/>
      <c r="H7" s="382"/>
      <c r="I7" s="382"/>
      <c r="J7" s="382"/>
      <c r="K7" s="382"/>
      <c r="L7" s="382"/>
      <c r="M7" s="382"/>
      <c r="N7" s="382"/>
      <c r="O7" s="382"/>
      <c r="P7" s="382"/>
    </row>
    <row r="8" spans="1:16" ht="43.5" customHeight="1" x14ac:dyDescent="0.25">
      <c r="A8" s="357" t="s">
        <v>494</v>
      </c>
      <c r="B8" s="382" t="s">
        <v>499</v>
      </c>
      <c r="C8" s="382"/>
      <c r="D8" s="382"/>
      <c r="E8" s="382"/>
      <c r="F8" s="382"/>
      <c r="G8" s="382"/>
      <c r="H8" s="382"/>
      <c r="I8" s="382"/>
      <c r="J8" s="382"/>
      <c r="K8" s="382"/>
      <c r="L8" s="382"/>
      <c r="M8" s="382"/>
      <c r="N8" s="382"/>
      <c r="O8" s="382"/>
      <c r="P8" s="382"/>
    </row>
    <row r="9" spans="1:16" ht="35.25" customHeight="1" x14ac:dyDescent="0.25">
      <c r="A9" s="357"/>
      <c r="B9" s="382" t="s">
        <v>500</v>
      </c>
      <c r="C9" s="382"/>
      <c r="D9" s="382"/>
      <c r="E9" s="382"/>
      <c r="F9" s="382"/>
      <c r="G9" s="382"/>
      <c r="H9" s="382"/>
      <c r="I9" s="382"/>
      <c r="J9" s="382"/>
      <c r="K9" s="382"/>
      <c r="L9" s="382"/>
      <c r="M9" s="382"/>
      <c r="N9" s="382"/>
      <c r="O9" s="382"/>
      <c r="P9" s="382"/>
    </row>
    <row r="10" spans="1:16" ht="35.25" customHeight="1" x14ac:dyDescent="0.25">
      <c r="A10" s="357" t="s">
        <v>494</v>
      </c>
      <c r="B10" s="384" t="s">
        <v>501</v>
      </c>
      <c r="C10" s="384"/>
      <c r="D10" s="384"/>
      <c r="E10" s="384"/>
      <c r="F10" s="384"/>
      <c r="G10" s="384"/>
      <c r="H10" s="384"/>
      <c r="I10" s="384"/>
      <c r="J10" s="384"/>
      <c r="K10" s="384"/>
      <c r="L10" s="384"/>
      <c r="M10" s="384"/>
      <c r="N10" s="384"/>
      <c r="O10" s="384"/>
      <c r="P10" s="384"/>
    </row>
    <row r="11" spans="1:16" ht="35.25" customHeight="1" x14ac:dyDescent="0.25">
      <c r="A11" s="357" t="s">
        <v>494</v>
      </c>
      <c r="B11" s="382" t="s">
        <v>502</v>
      </c>
      <c r="C11" s="382"/>
      <c r="D11" s="382"/>
      <c r="E11" s="382"/>
      <c r="F11" s="382"/>
      <c r="G11" s="382"/>
      <c r="H11" s="382"/>
      <c r="I11" s="382"/>
      <c r="J11" s="382"/>
      <c r="K11" s="382"/>
      <c r="L11" s="382"/>
      <c r="M11" s="382"/>
      <c r="N11" s="382"/>
      <c r="O11" s="382"/>
      <c r="P11" s="382"/>
    </row>
    <row r="12" spans="1:16" ht="41.25" customHeight="1" x14ac:dyDescent="0.25">
      <c r="A12" s="357" t="s">
        <v>494</v>
      </c>
      <c r="B12" s="382" t="s">
        <v>503</v>
      </c>
      <c r="C12" s="382"/>
      <c r="D12" s="382"/>
      <c r="E12" s="382"/>
      <c r="F12" s="382"/>
      <c r="G12" s="382"/>
      <c r="H12" s="382"/>
      <c r="I12" s="382"/>
      <c r="J12" s="382"/>
      <c r="K12" s="382"/>
      <c r="L12" s="382"/>
      <c r="M12" s="382"/>
      <c r="N12" s="382"/>
      <c r="O12" s="382"/>
      <c r="P12" s="382"/>
    </row>
    <row r="13" spans="1:16" ht="53.25" customHeight="1" x14ac:dyDescent="0.25">
      <c r="A13" s="357" t="s">
        <v>494</v>
      </c>
      <c r="B13" s="382" t="s">
        <v>504</v>
      </c>
      <c r="C13" s="382"/>
      <c r="D13" s="382"/>
      <c r="E13" s="382"/>
      <c r="F13" s="382"/>
      <c r="G13" s="382"/>
      <c r="H13" s="382"/>
      <c r="I13" s="382"/>
      <c r="J13" s="382"/>
      <c r="K13" s="382"/>
      <c r="L13" s="382"/>
      <c r="M13" s="382"/>
      <c r="N13" s="382"/>
      <c r="O13" s="382"/>
      <c r="P13" s="382"/>
    </row>
    <row r="14" spans="1:16" ht="39.75" customHeight="1" x14ac:dyDescent="0.25">
      <c r="A14" s="357" t="s">
        <v>494</v>
      </c>
      <c r="B14" s="382" t="s">
        <v>505</v>
      </c>
      <c r="C14" s="382"/>
      <c r="D14" s="382"/>
      <c r="E14" s="382"/>
      <c r="F14" s="382"/>
      <c r="G14" s="382"/>
      <c r="H14" s="382"/>
      <c r="I14" s="382"/>
      <c r="J14" s="382"/>
      <c r="K14" s="382"/>
      <c r="L14" s="382"/>
      <c r="M14" s="382"/>
      <c r="N14" s="382"/>
      <c r="O14" s="382"/>
      <c r="P14" s="382"/>
    </row>
    <row r="15" spans="1:16" ht="36" customHeight="1" x14ac:dyDescent="0.25">
      <c r="A15" s="357" t="s">
        <v>494</v>
      </c>
      <c r="B15" s="382" t="s">
        <v>506</v>
      </c>
      <c r="C15" s="382"/>
      <c r="D15" s="382"/>
      <c r="E15" s="382"/>
      <c r="F15" s="382"/>
      <c r="G15" s="382"/>
      <c r="H15" s="382"/>
      <c r="I15" s="382"/>
      <c r="J15" s="382"/>
      <c r="K15" s="382"/>
      <c r="L15" s="382"/>
      <c r="M15" s="382"/>
      <c r="N15" s="382"/>
      <c r="O15" s="382"/>
      <c r="P15" s="382"/>
    </row>
    <row r="16" spans="1:16" ht="55.5" customHeight="1" x14ac:dyDescent="0.25">
      <c r="A16" s="357" t="s">
        <v>494</v>
      </c>
      <c r="B16" s="382" t="s">
        <v>507</v>
      </c>
      <c r="C16" s="382"/>
      <c r="D16" s="382"/>
      <c r="E16" s="382"/>
      <c r="F16" s="382"/>
      <c r="G16" s="382"/>
      <c r="H16" s="382"/>
      <c r="I16" s="382"/>
      <c r="J16" s="382"/>
      <c r="K16" s="382"/>
      <c r="L16" s="382"/>
      <c r="M16" s="382"/>
      <c r="N16" s="382"/>
      <c r="O16" s="382"/>
      <c r="P16" s="382"/>
    </row>
    <row r="17" spans="1:16" ht="75" customHeight="1" x14ac:dyDescent="0.25">
      <c r="A17" s="357" t="s">
        <v>494</v>
      </c>
      <c r="B17" s="382" t="s">
        <v>508</v>
      </c>
      <c r="C17" s="382"/>
      <c r="D17" s="382"/>
      <c r="E17" s="382"/>
      <c r="F17" s="382"/>
      <c r="G17" s="382"/>
      <c r="H17" s="382"/>
      <c r="I17" s="382"/>
      <c r="J17" s="382"/>
      <c r="K17" s="382"/>
      <c r="L17" s="382"/>
      <c r="M17" s="382"/>
      <c r="N17" s="382"/>
      <c r="O17" s="382"/>
      <c r="P17" s="382"/>
    </row>
    <row r="18" spans="1:16" ht="34.5" customHeight="1" x14ac:dyDescent="0.25">
      <c r="A18" s="357" t="s">
        <v>494</v>
      </c>
      <c r="B18" s="382" t="s">
        <v>509</v>
      </c>
      <c r="C18" s="382"/>
      <c r="D18" s="382"/>
      <c r="E18" s="382"/>
      <c r="F18" s="382"/>
      <c r="G18" s="382"/>
      <c r="H18" s="382"/>
      <c r="I18" s="382"/>
      <c r="J18" s="382"/>
      <c r="K18" s="382"/>
      <c r="L18" s="382"/>
      <c r="M18" s="382"/>
      <c r="N18" s="382"/>
      <c r="O18" s="382"/>
      <c r="P18" s="382"/>
    </row>
    <row r="19" spans="1:16" ht="38.25" customHeight="1" x14ac:dyDescent="0.25">
      <c r="A19" s="357" t="s">
        <v>494</v>
      </c>
      <c r="B19" s="382" t="s">
        <v>510</v>
      </c>
      <c r="C19" s="382"/>
      <c r="D19" s="382"/>
      <c r="E19" s="382"/>
      <c r="F19" s="382"/>
      <c r="G19" s="382"/>
      <c r="H19" s="382"/>
      <c r="I19" s="382"/>
      <c r="J19" s="382"/>
      <c r="K19" s="382"/>
      <c r="L19" s="382"/>
      <c r="M19" s="382"/>
      <c r="N19" s="382"/>
      <c r="O19" s="382"/>
      <c r="P19" s="382"/>
    </row>
    <row r="20" spans="1:16" ht="35.25" customHeight="1" x14ac:dyDescent="0.25">
      <c r="A20" s="357" t="s">
        <v>494</v>
      </c>
      <c r="B20" s="382" t="s">
        <v>511</v>
      </c>
      <c r="C20" s="382"/>
      <c r="D20" s="382"/>
      <c r="E20" s="382"/>
      <c r="F20" s="382"/>
      <c r="G20" s="382"/>
      <c r="H20" s="382"/>
      <c r="I20" s="382"/>
      <c r="J20" s="382"/>
      <c r="K20" s="382"/>
      <c r="L20" s="382"/>
      <c r="M20" s="382"/>
      <c r="N20" s="382"/>
      <c r="O20" s="382"/>
      <c r="P20" s="382"/>
    </row>
    <row r="21" spans="1:16" ht="36.75" customHeight="1" x14ac:dyDescent="0.25">
      <c r="A21" s="357" t="s">
        <v>494</v>
      </c>
      <c r="B21" s="382" t="s">
        <v>512</v>
      </c>
      <c r="C21" s="382"/>
      <c r="D21" s="382"/>
      <c r="E21" s="382"/>
      <c r="F21" s="382"/>
      <c r="G21" s="382"/>
      <c r="H21" s="382"/>
      <c r="I21" s="382"/>
      <c r="J21" s="382"/>
      <c r="K21" s="382"/>
      <c r="L21" s="382"/>
      <c r="M21" s="382"/>
      <c r="N21" s="382"/>
      <c r="O21" s="382"/>
      <c r="P21" s="382"/>
    </row>
    <row r="22" spans="1:16" ht="18.75" x14ac:dyDescent="0.25">
      <c r="A22" s="357" t="s">
        <v>513</v>
      </c>
      <c r="B22" s="383" t="s">
        <v>514</v>
      </c>
      <c r="C22" s="383"/>
      <c r="D22" s="383"/>
      <c r="E22" s="383"/>
      <c r="F22" s="383"/>
      <c r="G22" s="383"/>
      <c r="H22" s="383"/>
      <c r="I22" s="383"/>
      <c r="J22" s="383"/>
      <c r="K22" s="383"/>
      <c r="L22" s="383"/>
      <c r="M22" s="383"/>
      <c r="N22" s="383"/>
      <c r="O22" s="383"/>
      <c r="P22" s="383"/>
    </row>
    <row r="23" spans="1:16" ht="38.25" customHeight="1" x14ac:dyDescent="0.25">
      <c r="A23" s="357" t="s">
        <v>494</v>
      </c>
      <c r="B23" s="382" t="s">
        <v>515</v>
      </c>
      <c r="C23" s="382"/>
      <c r="D23" s="382"/>
      <c r="E23" s="382"/>
      <c r="F23" s="382"/>
      <c r="G23" s="382"/>
      <c r="H23" s="382"/>
      <c r="I23" s="382"/>
      <c r="J23" s="382"/>
      <c r="K23" s="382"/>
      <c r="L23" s="382"/>
      <c r="M23" s="382"/>
      <c r="N23" s="382"/>
      <c r="O23" s="382"/>
      <c r="P23" s="382"/>
    </row>
    <row r="24" spans="1:16" ht="38.25" customHeight="1" x14ac:dyDescent="0.25">
      <c r="A24" s="357" t="s">
        <v>494</v>
      </c>
      <c r="B24" s="382" t="s">
        <v>516</v>
      </c>
      <c r="C24" s="382"/>
      <c r="D24" s="382"/>
      <c r="E24" s="382"/>
      <c r="F24" s="382"/>
      <c r="G24" s="382"/>
      <c r="H24" s="382"/>
      <c r="I24" s="382"/>
      <c r="J24" s="382"/>
      <c r="K24" s="382"/>
      <c r="L24" s="382"/>
      <c r="M24" s="382"/>
      <c r="N24" s="382"/>
      <c r="O24" s="382"/>
      <c r="P24" s="382"/>
    </row>
    <row r="25" spans="1:16" ht="59.25" customHeight="1" x14ac:dyDescent="0.25">
      <c r="A25" s="357" t="s">
        <v>494</v>
      </c>
      <c r="B25" s="382" t="s">
        <v>517</v>
      </c>
      <c r="C25" s="382"/>
      <c r="D25" s="382"/>
      <c r="E25" s="382"/>
      <c r="F25" s="382"/>
      <c r="G25" s="382"/>
      <c r="H25" s="382"/>
      <c r="I25" s="382"/>
      <c r="J25" s="382"/>
      <c r="K25" s="382"/>
      <c r="L25" s="382"/>
      <c r="M25" s="382"/>
      <c r="N25" s="382"/>
      <c r="O25" s="382"/>
      <c r="P25" s="382"/>
    </row>
    <row r="26" spans="1:16" ht="18.75" x14ac:dyDescent="0.25">
      <c r="A26" s="357" t="s">
        <v>494</v>
      </c>
      <c r="B26" s="382" t="s">
        <v>518</v>
      </c>
      <c r="C26" s="382"/>
      <c r="D26" s="382"/>
      <c r="E26" s="382"/>
      <c r="F26" s="382"/>
      <c r="G26" s="382"/>
      <c r="H26" s="382"/>
      <c r="I26" s="382"/>
      <c r="J26" s="382"/>
      <c r="K26" s="382"/>
      <c r="L26" s="382"/>
      <c r="M26" s="382"/>
      <c r="N26" s="382"/>
      <c r="O26" s="382"/>
      <c r="P26" s="382"/>
    </row>
    <row r="27" spans="1:16" ht="57" customHeight="1" x14ac:dyDescent="0.25">
      <c r="A27" s="357" t="s">
        <v>494</v>
      </c>
      <c r="B27" s="382" t="s">
        <v>519</v>
      </c>
      <c r="C27" s="382"/>
      <c r="D27" s="382"/>
      <c r="E27" s="382"/>
      <c r="F27" s="382"/>
      <c r="G27" s="382"/>
      <c r="H27" s="382"/>
      <c r="I27" s="382"/>
      <c r="J27" s="382"/>
      <c r="K27" s="382"/>
      <c r="L27" s="382"/>
      <c r="M27" s="382"/>
      <c r="N27" s="382"/>
      <c r="O27" s="382"/>
      <c r="P27" s="382"/>
    </row>
    <row r="28" spans="1:16" ht="57" customHeight="1" x14ac:dyDescent="0.25">
      <c r="A28" s="357" t="s">
        <v>494</v>
      </c>
      <c r="B28" s="382" t="s">
        <v>520</v>
      </c>
      <c r="C28" s="382"/>
      <c r="D28" s="382"/>
      <c r="E28" s="382"/>
      <c r="F28" s="382"/>
      <c r="G28" s="382"/>
      <c r="H28" s="382"/>
      <c r="I28" s="382"/>
      <c r="J28" s="382"/>
      <c r="K28" s="382"/>
      <c r="L28" s="382"/>
      <c r="M28" s="382"/>
      <c r="N28" s="382"/>
      <c r="O28" s="382"/>
      <c r="P28" s="382"/>
    </row>
    <row r="29" spans="1:16" ht="39.75" customHeight="1" x14ac:dyDescent="0.25">
      <c r="A29" s="357" t="s">
        <v>494</v>
      </c>
      <c r="B29" s="382" t="s">
        <v>521</v>
      </c>
      <c r="C29" s="382"/>
      <c r="D29" s="382"/>
      <c r="E29" s="382"/>
      <c r="F29" s="382"/>
      <c r="G29" s="382"/>
      <c r="H29" s="382"/>
      <c r="I29" s="382"/>
      <c r="J29" s="382"/>
      <c r="K29" s="382"/>
      <c r="L29" s="382"/>
      <c r="M29" s="382"/>
      <c r="N29" s="382"/>
      <c r="O29" s="382"/>
      <c r="P29" s="382"/>
    </row>
    <row r="30" spans="1:16" ht="57" customHeight="1" x14ac:dyDescent="0.25">
      <c r="A30" s="357" t="s">
        <v>494</v>
      </c>
      <c r="B30" s="382" t="s">
        <v>522</v>
      </c>
      <c r="C30" s="382"/>
      <c r="D30" s="382"/>
      <c r="E30" s="382"/>
      <c r="F30" s="382"/>
      <c r="G30" s="382"/>
      <c r="H30" s="382"/>
      <c r="I30" s="382"/>
      <c r="J30" s="382"/>
      <c r="K30" s="382"/>
      <c r="L30" s="382"/>
      <c r="M30" s="382"/>
      <c r="N30" s="382"/>
      <c r="O30" s="382"/>
      <c r="P30" s="382"/>
    </row>
    <row r="31" spans="1:16" ht="57" customHeight="1" x14ac:dyDescent="0.25">
      <c r="A31" s="357" t="s">
        <v>494</v>
      </c>
      <c r="B31" s="382" t="s">
        <v>524</v>
      </c>
      <c r="C31" s="382"/>
      <c r="D31" s="382"/>
      <c r="E31" s="382"/>
      <c r="F31" s="382"/>
      <c r="G31" s="382"/>
      <c r="H31" s="382"/>
      <c r="I31" s="382"/>
      <c r="J31" s="382"/>
      <c r="K31" s="382"/>
      <c r="L31" s="382"/>
      <c r="M31" s="382"/>
      <c r="N31" s="382"/>
      <c r="O31" s="382"/>
      <c r="P31" s="382"/>
    </row>
    <row r="32" spans="1:16" ht="24" customHeight="1" x14ac:dyDescent="0.25">
      <c r="A32" s="357" t="s">
        <v>494</v>
      </c>
      <c r="B32" s="382" t="s">
        <v>523</v>
      </c>
      <c r="C32" s="382"/>
      <c r="D32" s="382"/>
      <c r="E32" s="382"/>
      <c r="F32" s="382"/>
      <c r="G32" s="382"/>
      <c r="H32" s="382"/>
      <c r="I32" s="382"/>
      <c r="J32" s="382"/>
      <c r="K32" s="382"/>
      <c r="L32" s="382"/>
      <c r="M32" s="382"/>
      <c r="N32" s="382"/>
      <c r="O32" s="382"/>
      <c r="P32" s="382"/>
    </row>
    <row r="33" spans="1:16" ht="18.75" x14ac:dyDescent="0.25">
      <c r="A33" s="357" t="s">
        <v>494</v>
      </c>
      <c r="B33" s="382" t="s">
        <v>525</v>
      </c>
      <c r="C33" s="382"/>
      <c r="D33" s="382"/>
      <c r="E33" s="382"/>
      <c r="F33" s="382"/>
      <c r="G33" s="382"/>
      <c r="H33" s="382"/>
      <c r="I33" s="382"/>
      <c r="J33" s="382"/>
      <c r="K33" s="382"/>
      <c r="L33" s="382"/>
      <c r="M33" s="382"/>
      <c r="N33" s="382"/>
      <c r="O33" s="382"/>
      <c r="P33" s="382"/>
    </row>
  </sheetData>
  <mergeCells count="31">
    <mergeCell ref="B14:P14"/>
    <mergeCell ref="A1:J1"/>
    <mergeCell ref="B4:P4"/>
    <mergeCell ref="B5:P5"/>
    <mergeCell ref="B6:P6"/>
    <mergeCell ref="B7:P7"/>
    <mergeCell ref="B8:P8"/>
    <mergeCell ref="B9:P9"/>
    <mergeCell ref="B10:P10"/>
    <mergeCell ref="B11:P11"/>
    <mergeCell ref="B12:P12"/>
    <mergeCell ref="B13:P13"/>
    <mergeCell ref="B26:P26"/>
    <mergeCell ref="B15:P15"/>
    <mergeCell ref="B16:P16"/>
    <mergeCell ref="B17:P17"/>
    <mergeCell ref="B18:P18"/>
    <mergeCell ref="B19:P19"/>
    <mergeCell ref="B20:P20"/>
    <mergeCell ref="B21:P21"/>
    <mergeCell ref="B22:P22"/>
    <mergeCell ref="B23:P23"/>
    <mergeCell ref="B24:P24"/>
    <mergeCell ref="B25:P25"/>
    <mergeCell ref="B33:P33"/>
    <mergeCell ref="B27:P27"/>
    <mergeCell ref="B28:P28"/>
    <mergeCell ref="B29:P29"/>
    <mergeCell ref="B30:P30"/>
    <mergeCell ref="B31:P31"/>
    <mergeCell ref="B32:P32"/>
  </mergeCells>
  <pageMargins left="0.7" right="0.7" top="0.75" bottom="0.75" header="0.3" footer="0.3"/>
  <pageSetup paperSize="9"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zoomScale="70" zoomScaleNormal="70" workbookViewId="0">
      <pane ySplit="2" topLeftCell="A4" activePane="bottomLeft" state="frozen"/>
      <selection pane="bottomLeft" activeCell="C4" sqref="C4:C49"/>
    </sheetView>
  </sheetViews>
  <sheetFormatPr defaultRowHeight="15" x14ac:dyDescent="0.25"/>
  <cols>
    <col min="1" max="1" width="4.85546875" customWidth="1"/>
    <col min="2" max="2" width="26.5703125" customWidth="1"/>
    <col min="3" max="3" width="54.28515625" customWidth="1"/>
    <col min="4" max="4" width="70.42578125" customWidth="1"/>
    <col min="5" max="5" width="7.7109375" customWidth="1"/>
    <col min="6" max="6" width="9.42578125" customWidth="1"/>
    <col min="7" max="7" width="12.85546875" customWidth="1"/>
    <col min="8" max="9" width="7.42578125" customWidth="1"/>
    <col min="10" max="10" width="16.28515625" customWidth="1"/>
    <col min="11" max="11" width="15.28515625" customWidth="1"/>
    <col min="12" max="12" width="6.5703125" customWidth="1"/>
  </cols>
  <sheetData>
    <row r="1" spans="1:12" ht="18.75" x14ac:dyDescent="0.3">
      <c r="A1" s="1" t="s">
        <v>0</v>
      </c>
      <c r="B1" s="2"/>
      <c r="C1" s="3"/>
      <c r="D1" s="3"/>
      <c r="E1" s="3"/>
      <c r="F1" s="3"/>
      <c r="G1" s="3"/>
      <c r="H1" s="3"/>
      <c r="I1" s="3"/>
      <c r="J1" s="3"/>
      <c r="K1" s="2"/>
      <c r="L1" s="2"/>
    </row>
    <row r="2" spans="1:12" ht="75" customHeight="1" x14ac:dyDescent="0.25">
      <c r="A2" s="4" t="s">
        <v>1</v>
      </c>
      <c r="B2" s="5" t="s">
        <v>2</v>
      </c>
      <c r="C2" s="6" t="s">
        <v>3</v>
      </c>
      <c r="D2" s="6" t="s">
        <v>4</v>
      </c>
      <c r="E2" s="6" t="s">
        <v>5</v>
      </c>
      <c r="F2" s="7" t="s">
        <v>6</v>
      </c>
      <c r="G2" s="8" t="s">
        <v>7</v>
      </c>
      <c r="H2" s="9" t="s">
        <v>8</v>
      </c>
      <c r="I2" s="9" t="s">
        <v>9</v>
      </c>
      <c r="J2" s="8" t="s">
        <v>10</v>
      </c>
      <c r="K2" s="10" t="s">
        <v>11</v>
      </c>
      <c r="L2" s="10" t="s">
        <v>12</v>
      </c>
    </row>
    <row r="3" spans="1:12" ht="18.75" x14ac:dyDescent="0.25">
      <c r="A3" s="11">
        <v>1</v>
      </c>
      <c r="B3" s="12">
        <v>2</v>
      </c>
      <c r="C3" s="13">
        <v>3</v>
      </c>
      <c r="D3" s="14">
        <v>4</v>
      </c>
      <c r="E3" s="13">
        <v>5</v>
      </c>
      <c r="F3" s="13">
        <v>6</v>
      </c>
      <c r="G3" s="13">
        <v>7</v>
      </c>
      <c r="H3" s="13">
        <v>8</v>
      </c>
      <c r="I3" s="13">
        <v>9</v>
      </c>
      <c r="J3" s="12">
        <v>10</v>
      </c>
      <c r="K3" s="14">
        <v>11</v>
      </c>
      <c r="L3" s="14">
        <v>12</v>
      </c>
    </row>
    <row r="4" spans="1:12" ht="37.5" x14ac:dyDescent="0.3">
      <c r="A4" s="15">
        <v>1</v>
      </c>
      <c r="B4" s="16" t="s">
        <v>48</v>
      </c>
      <c r="C4" s="387" t="s">
        <v>435</v>
      </c>
      <c r="D4" s="78"/>
      <c r="E4" s="79"/>
      <c r="F4" s="79"/>
      <c r="G4" s="79"/>
      <c r="H4" s="79"/>
      <c r="I4" s="79"/>
      <c r="J4" s="80"/>
      <c r="K4" s="81"/>
      <c r="L4" s="17"/>
    </row>
    <row r="5" spans="1:12" ht="24" customHeight="1" x14ac:dyDescent="0.3">
      <c r="A5" s="18"/>
      <c r="B5" s="390" t="s">
        <v>39</v>
      </c>
      <c r="C5" s="388"/>
      <c r="D5" s="82" t="s">
        <v>13</v>
      </c>
      <c r="E5" s="83"/>
      <c r="F5" s="84"/>
      <c r="G5" s="83"/>
      <c r="H5" s="83"/>
      <c r="I5" s="83"/>
      <c r="J5" s="85">
        <v>0</v>
      </c>
      <c r="K5" s="86"/>
      <c r="L5" s="18"/>
    </row>
    <row r="6" spans="1:12" ht="27.75" customHeight="1" x14ac:dyDescent="0.3">
      <c r="A6" s="18"/>
      <c r="B6" s="390"/>
      <c r="C6" s="388"/>
      <c r="D6" s="19" t="s">
        <v>114</v>
      </c>
      <c r="E6" s="87" t="s">
        <v>14</v>
      </c>
      <c r="F6" s="88">
        <v>223.6</v>
      </c>
      <c r="G6" s="89"/>
      <c r="H6" s="90"/>
      <c r="I6" s="90"/>
      <c r="J6" s="89"/>
      <c r="K6" s="91"/>
      <c r="L6" s="18"/>
    </row>
    <row r="7" spans="1:12" ht="24.75" customHeight="1" x14ac:dyDescent="0.3">
      <c r="A7" s="18"/>
      <c r="B7" s="390"/>
      <c r="C7" s="388"/>
      <c r="D7" s="92" t="s">
        <v>50</v>
      </c>
      <c r="E7" s="20" t="s">
        <v>14</v>
      </c>
      <c r="F7" s="93">
        <f>F6</f>
        <v>223.6</v>
      </c>
      <c r="G7" s="94"/>
      <c r="H7" s="90"/>
      <c r="I7" s="90"/>
      <c r="J7" s="89"/>
      <c r="K7" s="91"/>
      <c r="L7" s="18"/>
    </row>
    <row r="8" spans="1:12" ht="41.25" customHeight="1" x14ac:dyDescent="0.3">
      <c r="A8" s="21"/>
      <c r="B8" s="390"/>
      <c r="C8" s="388"/>
      <c r="D8" s="95" t="s">
        <v>15</v>
      </c>
      <c r="E8" s="20" t="s">
        <v>14</v>
      </c>
      <c r="F8" s="93">
        <v>0</v>
      </c>
      <c r="G8" s="89"/>
      <c r="H8" s="90"/>
      <c r="I8" s="90"/>
      <c r="J8" s="94"/>
      <c r="K8" s="91"/>
      <c r="L8" s="18"/>
    </row>
    <row r="9" spans="1:12" ht="18.75" x14ac:dyDescent="0.3">
      <c r="A9" s="21"/>
      <c r="B9" s="66" t="s">
        <v>17</v>
      </c>
      <c r="C9" s="388"/>
      <c r="D9" s="96" t="s">
        <v>223</v>
      </c>
      <c r="E9" s="87"/>
      <c r="F9" s="97"/>
      <c r="G9" s="89"/>
      <c r="H9" s="90"/>
      <c r="I9" s="90"/>
      <c r="J9" s="89"/>
      <c r="K9" s="91"/>
      <c r="L9" s="18"/>
    </row>
    <row r="10" spans="1:12" ht="129" customHeight="1" x14ac:dyDescent="0.3">
      <c r="A10" s="21"/>
      <c r="B10" s="22" t="s">
        <v>18</v>
      </c>
      <c r="C10" s="388"/>
      <c r="D10" s="391" t="s">
        <v>180</v>
      </c>
      <c r="E10" s="392"/>
      <c r="F10" s="392"/>
      <c r="G10" s="392"/>
      <c r="H10" s="392"/>
      <c r="I10" s="392"/>
      <c r="J10" s="393"/>
      <c r="K10" s="23"/>
      <c r="L10" s="18"/>
    </row>
    <row r="11" spans="1:12" ht="102" customHeight="1" x14ac:dyDescent="0.3">
      <c r="A11" s="21"/>
      <c r="B11" s="65" t="s">
        <v>16</v>
      </c>
      <c r="C11" s="388"/>
      <c r="D11" s="76" t="s">
        <v>59</v>
      </c>
      <c r="E11" s="20" t="s">
        <v>14</v>
      </c>
      <c r="F11" s="77">
        <f>F7</f>
        <v>223.6</v>
      </c>
      <c r="G11" s="401" t="s">
        <v>181</v>
      </c>
      <c r="H11" s="402"/>
      <c r="I11" s="402"/>
      <c r="J11" s="403"/>
      <c r="K11" s="209"/>
      <c r="L11" s="18"/>
    </row>
    <row r="12" spans="1:12" ht="46.5" customHeight="1" x14ac:dyDescent="0.3">
      <c r="A12" s="21"/>
      <c r="B12" s="22" t="s">
        <v>40</v>
      </c>
      <c r="C12" s="388"/>
      <c r="D12" s="19" t="s">
        <v>19</v>
      </c>
      <c r="E12" s="26"/>
      <c r="F12" s="27"/>
      <c r="G12" s="24"/>
      <c r="H12" s="25"/>
      <c r="I12" s="25"/>
      <c r="J12" s="98">
        <f>J13+J28+J29</f>
        <v>338258378</v>
      </c>
      <c r="K12" s="23"/>
      <c r="L12" s="18"/>
    </row>
    <row r="13" spans="1:12" ht="18.75" x14ac:dyDescent="0.3">
      <c r="A13" s="21"/>
      <c r="B13" s="99"/>
      <c r="C13" s="388"/>
      <c r="D13" s="19" t="s">
        <v>20</v>
      </c>
      <c r="E13" s="26"/>
      <c r="F13" s="27"/>
      <c r="G13" s="24"/>
      <c r="H13" s="25"/>
      <c r="I13" s="25"/>
      <c r="J13" s="98">
        <f>SUM(J15:J27)</f>
        <v>333596378</v>
      </c>
      <c r="K13" s="23"/>
      <c r="L13" s="18"/>
    </row>
    <row r="14" spans="1:12" ht="204" customHeight="1" x14ac:dyDescent="0.3">
      <c r="A14" s="21"/>
      <c r="B14" s="99"/>
      <c r="C14" s="388"/>
      <c r="D14" s="394" t="s">
        <v>51</v>
      </c>
      <c r="E14" s="395"/>
      <c r="F14" s="395"/>
      <c r="G14" s="395"/>
      <c r="H14" s="395"/>
      <c r="I14" s="395"/>
      <c r="J14" s="396"/>
      <c r="K14" s="23"/>
      <c r="L14" s="18"/>
    </row>
    <row r="15" spans="1:12" ht="89.25" customHeight="1" x14ac:dyDescent="0.3">
      <c r="A15" s="21"/>
      <c r="B15" s="75"/>
      <c r="C15" s="388"/>
      <c r="D15" s="100" t="s">
        <v>412</v>
      </c>
      <c r="E15" s="26" t="s">
        <v>21</v>
      </c>
      <c r="F15" s="101">
        <f xml:space="preserve"> (4.7*3.4)+(3.6*4.5)</f>
        <v>32.18</v>
      </c>
      <c r="G15" s="102">
        <f>(3751000*1.12)+(3751000*15%)+481600</f>
        <v>5245370</v>
      </c>
      <c r="H15" s="103"/>
      <c r="I15" s="104">
        <v>0.8</v>
      </c>
      <c r="J15" s="24">
        <f>ROUND((F15*G15*I15),0)</f>
        <v>135036805</v>
      </c>
      <c r="K15" s="23"/>
      <c r="L15" s="23"/>
    </row>
    <row r="16" spans="1:12" ht="252" customHeight="1" x14ac:dyDescent="0.3">
      <c r="A16" s="21"/>
      <c r="B16" s="75"/>
      <c r="C16" s="388"/>
      <c r="D16" s="105" t="s">
        <v>52</v>
      </c>
      <c r="E16" s="103"/>
      <c r="F16" s="101"/>
      <c r="G16" s="106"/>
      <c r="H16" s="103"/>
      <c r="I16" s="103"/>
      <c r="J16" s="107"/>
      <c r="K16" s="23"/>
      <c r="L16" s="23"/>
    </row>
    <row r="17" spans="1:12" ht="120" customHeight="1" x14ac:dyDescent="0.3">
      <c r="A17" s="21"/>
      <c r="B17" s="75"/>
      <c r="C17" s="388"/>
      <c r="D17" s="108" t="s">
        <v>413</v>
      </c>
      <c r="E17" s="26" t="s">
        <v>21</v>
      </c>
      <c r="F17" s="101"/>
      <c r="G17" s="102"/>
      <c r="H17" s="103"/>
      <c r="I17" s="104"/>
      <c r="J17" s="24"/>
      <c r="K17" s="23"/>
      <c r="L17" s="23"/>
    </row>
    <row r="18" spans="1:12" ht="102" customHeight="1" x14ac:dyDescent="0.3">
      <c r="A18" s="21"/>
      <c r="B18" s="75"/>
      <c r="C18" s="388"/>
      <c r="D18" s="108" t="s">
        <v>414</v>
      </c>
      <c r="E18" s="26" t="s">
        <v>21</v>
      </c>
      <c r="F18" s="101">
        <f>5.2*5.8</f>
        <v>30.16</v>
      </c>
      <c r="G18" s="102">
        <f>(3751000*1.12)+(3751000*15%)+481600</f>
        <v>5245370</v>
      </c>
      <c r="H18" s="103"/>
      <c r="I18" s="104">
        <v>0.8</v>
      </c>
      <c r="J18" s="24">
        <f>ROUND((F18*G18*I18),0)</f>
        <v>126560287</v>
      </c>
      <c r="K18" s="23"/>
      <c r="L18" s="23"/>
    </row>
    <row r="19" spans="1:12" ht="267.75" customHeight="1" x14ac:dyDescent="0.3">
      <c r="A19" s="21"/>
      <c r="B19" s="75"/>
      <c r="C19" s="388"/>
      <c r="D19" s="105" t="s">
        <v>53</v>
      </c>
      <c r="E19" s="26"/>
      <c r="F19" s="101"/>
      <c r="G19" s="102"/>
      <c r="H19" s="103"/>
      <c r="I19" s="104"/>
      <c r="J19" s="24"/>
      <c r="K19" s="23"/>
      <c r="L19" s="23"/>
    </row>
    <row r="20" spans="1:12" ht="80.25" customHeight="1" x14ac:dyDescent="0.3">
      <c r="A20" s="21"/>
      <c r="B20" s="75"/>
      <c r="C20" s="388"/>
      <c r="D20" s="108" t="s">
        <v>415</v>
      </c>
      <c r="E20" s="26" t="s">
        <v>21</v>
      </c>
      <c r="F20" s="101">
        <f>2.4*3.5</f>
        <v>8.4</v>
      </c>
      <c r="G20" s="102">
        <f>3751000*1.12+(3751000*8.5%)</f>
        <v>4519955</v>
      </c>
      <c r="H20" s="103"/>
      <c r="I20" s="104">
        <v>0.8</v>
      </c>
      <c r="J20" s="24">
        <f>ROUND((F20*G20*I20),0)</f>
        <v>30374098</v>
      </c>
      <c r="K20" s="23"/>
      <c r="L20" s="23"/>
    </row>
    <row r="21" spans="1:12" ht="158.25" customHeight="1" x14ac:dyDescent="0.3">
      <c r="A21" s="21"/>
      <c r="B21" s="75"/>
      <c r="C21" s="388"/>
      <c r="D21" s="105" t="s">
        <v>416</v>
      </c>
      <c r="E21" s="103"/>
      <c r="F21" s="106"/>
      <c r="G21" s="106"/>
      <c r="H21" s="103"/>
      <c r="I21" s="103"/>
      <c r="J21" s="107"/>
      <c r="K21" s="23"/>
      <c r="L21" s="23"/>
    </row>
    <row r="22" spans="1:12" ht="44.25" customHeight="1" x14ac:dyDescent="0.3">
      <c r="A22" s="21"/>
      <c r="B22" s="75"/>
      <c r="C22" s="388"/>
      <c r="D22" s="108" t="s">
        <v>417</v>
      </c>
      <c r="E22" s="26" t="s">
        <v>21</v>
      </c>
      <c r="F22" s="109">
        <f>(3.9*1.8)+(8.2*1.9)+(6*1.7)</f>
        <v>32.799999999999997</v>
      </c>
      <c r="G22" s="102">
        <v>230583</v>
      </c>
      <c r="H22" s="103"/>
      <c r="I22" s="104">
        <v>0.8</v>
      </c>
      <c r="J22" s="24">
        <f>ROUND((F22*G22*I22),0)</f>
        <v>6050498</v>
      </c>
      <c r="K22" s="23"/>
      <c r="L22" s="23"/>
    </row>
    <row r="23" spans="1:12" ht="64.5" customHeight="1" x14ac:dyDescent="0.3">
      <c r="A23" s="21"/>
      <c r="B23" s="75"/>
      <c r="C23" s="388"/>
      <c r="D23" s="110" t="s">
        <v>45</v>
      </c>
      <c r="E23" s="103"/>
      <c r="F23" s="106"/>
      <c r="G23" s="106"/>
      <c r="H23" s="103"/>
      <c r="I23" s="103"/>
      <c r="J23" s="107"/>
      <c r="K23" s="23"/>
      <c r="L23" s="23"/>
    </row>
    <row r="24" spans="1:12" ht="42.75" customHeight="1" x14ac:dyDescent="0.3">
      <c r="A24" s="21"/>
      <c r="B24" s="75"/>
      <c r="C24" s="388"/>
      <c r="D24" s="92" t="s">
        <v>41</v>
      </c>
      <c r="E24" s="26" t="s">
        <v>21</v>
      </c>
      <c r="F24" s="101">
        <f>(1.6*2.5)+(6.2*4.2)</f>
        <v>30.040000000000003</v>
      </c>
      <c r="G24" s="102">
        <v>1259097</v>
      </c>
      <c r="H24" s="103"/>
      <c r="I24" s="104">
        <v>0.8</v>
      </c>
      <c r="J24" s="24">
        <f>ROUND((F24*G24*I24),0)</f>
        <v>30258619</v>
      </c>
      <c r="K24" s="23"/>
      <c r="L24" s="23"/>
    </row>
    <row r="25" spans="1:12" ht="63" customHeight="1" x14ac:dyDescent="0.3">
      <c r="A25" s="21"/>
      <c r="B25" s="21"/>
      <c r="C25" s="388"/>
      <c r="D25" s="110" t="s">
        <v>46</v>
      </c>
      <c r="E25" s="26"/>
      <c r="F25" s="106"/>
      <c r="G25" s="106"/>
      <c r="H25" s="103"/>
      <c r="I25" s="103"/>
      <c r="J25" s="107"/>
      <c r="K25" s="23"/>
      <c r="L25" s="23"/>
    </row>
    <row r="26" spans="1:12" ht="24" customHeight="1" x14ac:dyDescent="0.3">
      <c r="A26" s="21" t="s">
        <v>35</v>
      </c>
      <c r="B26" s="21"/>
      <c r="C26" s="388"/>
      <c r="D26" s="108" t="s">
        <v>42</v>
      </c>
      <c r="E26" s="26" t="s">
        <v>38</v>
      </c>
      <c r="F26" s="111">
        <v>10.8</v>
      </c>
      <c r="G26" s="102">
        <f xml:space="preserve"> 537955-(537955*8.5%)</f>
        <v>492228.82500000001</v>
      </c>
      <c r="H26" s="103"/>
      <c r="I26" s="104">
        <v>1</v>
      </c>
      <c r="J26" s="24">
        <f>ROUND((F26*G26*I26),0)</f>
        <v>5316071</v>
      </c>
      <c r="K26" s="23"/>
      <c r="L26" s="67"/>
    </row>
    <row r="27" spans="1:12" ht="123" customHeight="1" x14ac:dyDescent="0.3">
      <c r="A27" s="21"/>
      <c r="B27" s="21"/>
      <c r="C27" s="388"/>
      <c r="D27" s="105" t="s">
        <v>47</v>
      </c>
      <c r="E27" s="26"/>
      <c r="F27" s="109"/>
      <c r="G27" s="102"/>
      <c r="H27" s="103"/>
      <c r="I27" s="104"/>
      <c r="J27" s="24"/>
      <c r="K27" s="23"/>
      <c r="L27" s="67"/>
    </row>
    <row r="28" spans="1:12" ht="27" customHeight="1" x14ac:dyDescent="0.3">
      <c r="A28" s="18"/>
      <c r="B28" s="36"/>
      <c r="C28" s="388"/>
      <c r="D28" s="19" t="s">
        <v>22</v>
      </c>
      <c r="E28" s="26"/>
      <c r="F28" s="27"/>
      <c r="G28" s="24"/>
      <c r="H28" s="25"/>
      <c r="I28" s="25"/>
      <c r="J28" s="24">
        <f t="shared" ref="J28" si="0">ROUND((F28*G28*I28),0)</f>
        <v>0</v>
      </c>
      <c r="K28" s="23"/>
      <c r="L28" s="18"/>
    </row>
    <row r="29" spans="1:12" ht="25.5" customHeight="1" x14ac:dyDescent="0.3">
      <c r="A29" s="18"/>
      <c r="B29" s="36"/>
      <c r="C29" s="388"/>
      <c r="D29" s="19" t="s">
        <v>23</v>
      </c>
      <c r="E29" s="26"/>
      <c r="F29" s="27"/>
      <c r="G29" s="28"/>
      <c r="H29" s="25"/>
      <c r="I29" s="25"/>
      <c r="J29" s="98">
        <f>SUM(J31:J38)</f>
        <v>4662000</v>
      </c>
      <c r="K29" s="23"/>
      <c r="L29" s="18"/>
    </row>
    <row r="30" spans="1:12" ht="118.5" customHeight="1" x14ac:dyDescent="0.3">
      <c r="A30" s="18"/>
      <c r="B30" s="36"/>
      <c r="C30" s="388"/>
      <c r="D30" s="398" t="s">
        <v>36</v>
      </c>
      <c r="E30" s="399"/>
      <c r="F30" s="399"/>
      <c r="G30" s="399"/>
      <c r="H30" s="399"/>
      <c r="I30" s="399"/>
      <c r="J30" s="400"/>
      <c r="K30" s="23"/>
      <c r="L30" s="18"/>
    </row>
    <row r="31" spans="1:12" ht="42.75" customHeight="1" x14ac:dyDescent="0.3">
      <c r="A31" s="18"/>
      <c r="B31" s="36"/>
      <c r="C31" s="388"/>
      <c r="D31" s="69" t="s">
        <v>54</v>
      </c>
      <c r="E31" s="20" t="s">
        <v>24</v>
      </c>
      <c r="F31" s="70">
        <v>2</v>
      </c>
      <c r="G31" s="113">
        <v>168000</v>
      </c>
      <c r="H31" s="114"/>
      <c r="I31" s="25">
        <v>1</v>
      </c>
      <c r="J31" s="24">
        <f t="shared" ref="J31" si="1">ROUND((F31*G31*I31),0)</f>
        <v>336000</v>
      </c>
      <c r="K31" s="63"/>
      <c r="L31" s="18"/>
    </row>
    <row r="32" spans="1:12" ht="23.25" customHeight="1" x14ac:dyDescent="0.3">
      <c r="A32" s="18"/>
      <c r="B32" s="36"/>
      <c r="C32" s="388"/>
      <c r="D32" s="72" t="s">
        <v>44</v>
      </c>
      <c r="E32" s="20" t="s">
        <v>24</v>
      </c>
      <c r="F32" s="70">
        <v>18</v>
      </c>
      <c r="G32" s="73">
        <v>56000</v>
      </c>
      <c r="H32" s="71"/>
      <c r="I32" s="71">
        <v>1</v>
      </c>
      <c r="J32" s="28">
        <f>I32*G32*F32</f>
        <v>1008000</v>
      </c>
      <c r="K32" s="63"/>
      <c r="L32" s="18"/>
    </row>
    <row r="33" spans="1:13" ht="43.5" customHeight="1" x14ac:dyDescent="0.3">
      <c r="A33" s="18"/>
      <c r="B33" s="36"/>
      <c r="C33" s="388"/>
      <c r="D33" s="69" t="s">
        <v>58</v>
      </c>
      <c r="E33" s="20" t="s">
        <v>24</v>
      </c>
      <c r="F33" s="70">
        <v>1</v>
      </c>
      <c r="G33" s="113">
        <v>228000</v>
      </c>
      <c r="H33" s="114"/>
      <c r="I33" s="25">
        <v>1</v>
      </c>
      <c r="J33" s="24">
        <f t="shared" ref="J33" si="2">ROUND((F33*G33*I33),0)</f>
        <v>228000</v>
      </c>
      <c r="K33" s="63"/>
      <c r="L33" s="18"/>
    </row>
    <row r="34" spans="1:13" ht="41.25" customHeight="1" x14ac:dyDescent="0.3">
      <c r="A34" s="18"/>
      <c r="B34" s="36"/>
      <c r="C34" s="388"/>
      <c r="D34" s="69" t="s">
        <v>57</v>
      </c>
      <c r="E34" s="20" t="s">
        <v>24</v>
      </c>
      <c r="F34" s="70">
        <v>1</v>
      </c>
      <c r="G34" s="73">
        <v>113000</v>
      </c>
      <c r="H34" s="71"/>
      <c r="I34" s="71">
        <v>1</v>
      </c>
      <c r="J34" s="28">
        <f>I34*G34*F34</f>
        <v>113000</v>
      </c>
      <c r="K34" s="63"/>
      <c r="L34" s="18"/>
    </row>
    <row r="35" spans="1:13" ht="43.5" customHeight="1" x14ac:dyDescent="0.3">
      <c r="A35" s="18"/>
      <c r="B35" s="36"/>
      <c r="C35" s="388"/>
      <c r="D35" s="69" t="s">
        <v>55</v>
      </c>
      <c r="E35" s="20" t="s">
        <v>24</v>
      </c>
      <c r="F35" s="70">
        <v>1</v>
      </c>
      <c r="G35" s="113">
        <v>112000</v>
      </c>
      <c r="H35" s="114"/>
      <c r="I35" s="25">
        <v>1</v>
      </c>
      <c r="J35" s="24">
        <f t="shared" ref="J35" si="3">ROUND((F35*G35*I35),0)</f>
        <v>112000</v>
      </c>
      <c r="K35" s="63"/>
      <c r="L35" s="18"/>
    </row>
    <row r="36" spans="1:13" ht="23.25" customHeight="1" x14ac:dyDescent="0.3">
      <c r="A36" s="18"/>
      <c r="B36" s="36"/>
      <c r="C36" s="388"/>
      <c r="D36" s="57" t="s">
        <v>49</v>
      </c>
      <c r="E36" s="20" t="s">
        <v>24</v>
      </c>
      <c r="F36" s="70">
        <v>10</v>
      </c>
      <c r="G36" s="28">
        <v>115000</v>
      </c>
      <c r="H36" s="116"/>
      <c r="I36" s="25">
        <v>1</v>
      </c>
      <c r="J36" s="28">
        <f>I36*G36*F36</f>
        <v>1150000</v>
      </c>
      <c r="K36" s="63"/>
      <c r="L36" s="18"/>
    </row>
    <row r="37" spans="1:13" ht="23.25" customHeight="1" x14ac:dyDescent="0.3">
      <c r="A37" s="18"/>
      <c r="B37" s="36"/>
      <c r="C37" s="388"/>
      <c r="D37" s="69" t="s">
        <v>43</v>
      </c>
      <c r="E37" s="20" t="s">
        <v>24</v>
      </c>
      <c r="F37" s="70">
        <v>15</v>
      </c>
      <c r="G37" s="28">
        <v>103000</v>
      </c>
      <c r="H37" s="116"/>
      <c r="I37" s="25">
        <v>1</v>
      </c>
      <c r="J37" s="28">
        <f>I37*G37*F37</f>
        <v>1545000</v>
      </c>
      <c r="K37" s="63"/>
      <c r="L37" s="18"/>
    </row>
    <row r="38" spans="1:13" ht="42.75" customHeight="1" x14ac:dyDescent="0.3">
      <c r="A38" s="18"/>
      <c r="B38" s="36"/>
      <c r="C38" s="388"/>
      <c r="D38" s="57" t="s">
        <v>56</v>
      </c>
      <c r="E38" s="20" t="s">
        <v>24</v>
      </c>
      <c r="F38" s="115">
        <v>2</v>
      </c>
      <c r="G38" s="28">
        <v>85000</v>
      </c>
      <c r="H38" s="116"/>
      <c r="I38" s="25">
        <v>1</v>
      </c>
      <c r="J38" s="28">
        <f>I38*G38*F38</f>
        <v>170000</v>
      </c>
      <c r="K38" s="63"/>
      <c r="L38" s="18"/>
    </row>
    <row r="39" spans="1:13" ht="18.75" customHeight="1" x14ac:dyDescent="0.3">
      <c r="A39" s="18"/>
      <c r="B39" s="36"/>
      <c r="C39" s="388"/>
      <c r="D39" s="19" t="s">
        <v>25</v>
      </c>
      <c r="E39" s="26"/>
      <c r="F39" s="62"/>
      <c r="G39" s="29"/>
      <c r="H39" s="29"/>
      <c r="I39" s="29"/>
      <c r="J39" s="29">
        <v>0</v>
      </c>
      <c r="K39" s="63"/>
      <c r="L39" s="18"/>
    </row>
    <row r="40" spans="1:13" ht="18.75" x14ac:dyDescent="0.3">
      <c r="A40" s="18"/>
      <c r="B40" s="36"/>
      <c r="C40" s="388"/>
      <c r="D40" s="30" t="s">
        <v>37</v>
      </c>
      <c r="E40" s="31"/>
      <c r="F40" s="32"/>
      <c r="G40" s="59"/>
      <c r="H40" s="60"/>
      <c r="I40" s="60"/>
      <c r="J40" s="61">
        <f>SUM(J42+J41)</f>
        <v>0</v>
      </c>
      <c r="K40" s="23"/>
      <c r="L40" s="18"/>
    </row>
    <row r="41" spans="1:13" ht="156.75" customHeight="1" x14ac:dyDescent="0.3">
      <c r="A41" s="18"/>
      <c r="B41" s="36"/>
      <c r="C41" s="388"/>
      <c r="D41" s="68" t="s">
        <v>418</v>
      </c>
      <c r="E41" s="31"/>
      <c r="F41" s="404" t="s">
        <v>319</v>
      </c>
      <c r="G41" s="404"/>
      <c r="H41" s="404"/>
      <c r="I41" s="404"/>
      <c r="J41" s="404"/>
      <c r="K41" s="23"/>
      <c r="L41" s="18"/>
    </row>
    <row r="42" spans="1:13" ht="135.75" customHeight="1" x14ac:dyDescent="0.3">
      <c r="A42" s="18"/>
      <c r="B42" s="36"/>
      <c r="C42" s="388"/>
      <c r="D42" s="34" t="s">
        <v>419</v>
      </c>
      <c r="E42" s="31"/>
      <c r="F42" s="405" t="s">
        <v>320</v>
      </c>
      <c r="G42" s="405"/>
      <c r="H42" s="405"/>
      <c r="I42" s="405"/>
      <c r="J42" s="405"/>
      <c r="K42" s="23"/>
      <c r="L42" s="18"/>
      <c r="M42" s="64"/>
    </row>
    <row r="43" spans="1:13" ht="18.75" x14ac:dyDescent="0.3">
      <c r="A43" s="18"/>
      <c r="B43" s="18"/>
      <c r="C43" s="388"/>
      <c r="D43" s="39" t="s">
        <v>26</v>
      </c>
      <c r="E43" s="40"/>
      <c r="F43" s="41"/>
      <c r="G43" s="42"/>
      <c r="H43" s="43"/>
      <c r="I43" s="43"/>
      <c r="J43" s="44">
        <f>J5+J12+J40</f>
        <v>338258378</v>
      </c>
      <c r="K43" s="23"/>
      <c r="L43" s="18"/>
    </row>
    <row r="44" spans="1:13" ht="18.75" x14ac:dyDescent="0.3">
      <c r="A44" s="18"/>
      <c r="B44" s="18"/>
      <c r="C44" s="388"/>
      <c r="D44" s="19" t="s">
        <v>27</v>
      </c>
      <c r="E44" s="31"/>
      <c r="F44" s="45"/>
      <c r="G44" s="37"/>
      <c r="H44" s="37"/>
      <c r="I44" s="37"/>
      <c r="J44" s="33">
        <f>J46</f>
        <v>8000000</v>
      </c>
      <c r="K44" s="23"/>
      <c r="L44" s="18"/>
    </row>
    <row r="45" spans="1:13" ht="37.5" x14ac:dyDescent="0.3">
      <c r="A45" s="18"/>
      <c r="B45" s="18"/>
      <c r="C45" s="388"/>
      <c r="D45" s="46" t="s">
        <v>28</v>
      </c>
      <c r="E45" s="31"/>
      <c r="F45" s="45"/>
      <c r="G45" s="37"/>
      <c r="H45" s="37"/>
      <c r="I45" s="37"/>
      <c r="J45" s="33"/>
      <c r="K45" s="23"/>
      <c r="L45" s="18"/>
    </row>
    <row r="46" spans="1:13" ht="140.25" customHeight="1" x14ac:dyDescent="0.3">
      <c r="A46" s="18"/>
      <c r="B46" s="18"/>
      <c r="C46" s="388"/>
      <c r="D46" s="47" t="s">
        <v>29</v>
      </c>
      <c r="E46" s="40" t="s">
        <v>30</v>
      </c>
      <c r="F46" s="42">
        <v>1</v>
      </c>
      <c r="G46" s="28">
        <f>IF(J43*10%&gt;=8000000,8000000,IF(J43*10%&lt;=1000000,1000000,J43*10%))</f>
        <v>8000000</v>
      </c>
      <c r="H46" s="43"/>
      <c r="I46" s="43"/>
      <c r="J46" s="42">
        <f>F46*G46</f>
        <v>8000000</v>
      </c>
      <c r="K46" s="23"/>
      <c r="L46" s="18"/>
    </row>
    <row r="47" spans="1:13" ht="33" customHeight="1" x14ac:dyDescent="0.3">
      <c r="A47" s="18"/>
      <c r="B47" s="48"/>
      <c r="C47" s="388"/>
      <c r="D47" s="39" t="s">
        <v>31</v>
      </c>
      <c r="E47" s="40"/>
      <c r="F47" s="42"/>
      <c r="G47" s="28"/>
      <c r="H47" s="43"/>
      <c r="I47" s="43"/>
      <c r="J47" s="42"/>
      <c r="K47" s="210">
        <f>J43+J44</f>
        <v>346258378</v>
      </c>
      <c r="L47" s="18"/>
    </row>
    <row r="48" spans="1:13" ht="18.75" x14ac:dyDescent="0.3">
      <c r="A48" s="18"/>
      <c r="B48" s="18"/>
      <c r="C48" s="388"/>
      <c r="D48" s="52" t="s">
        <v>32</v>
      </c>
      <c r="E48" s="50"/>
      <c r="F48" s="51"/>
      <c r="G48" s="52"/>
      <c r="H48" s="52"/>
      <c r="I48" s="52"/>
      <c r="J48" s="52"/>
      <c r="K48" s="52"/>
      <c r="L48" s="18"/>
    </row>
    <row r="49" spans="1:12" ht="82.5" customHeight="1" x14ac:dyDescent="0.3">
      <c r="A49" s="53"/>
      <c r="B49" s="53"/>
      <c r="C49" s="389"/>
      <c r="D49" s="54" t="s">
        <v>33</v>
      </c>
      <c r="E49" s="55"/>
      <c r="F49" s="397" t="s">
        <v>34</v>
      </c>
      <c r="G49" s="397"/>
      <c r="H49" s="397"/>
      <c r="I49" s="397"/>
      <c r="J49" s="397"/>
      <c r="K49" s="56"/>
      <c r="L49" s="53"/>
    </row>
    <row r="50" spans="1:12" ht="15" customHeight="1" x14ac:dyDescent="0.25">
      <c r="C50" s="58"/>
    </row>
    <row r="51" spans="1:12" ht="15" customHeight="1" x14ac:dyDescent="0.25">
      <c r="C51" s="58"/>
    </row>
    <row r="52" spans="1:12" ht="15" customHeight="1" x14ac:dyDescent="0.25">
      <c r="C52" s="58"/>
    </row>
    <row r="53" spans="1:12" ht="15" customHeight="1" x14ac:dyDescent="0.25">
      <c r="C53" s="58"/>
    </row>
    <row r="54" spans="1:12" ht="15" customHeight="1" x14ac:dyDescent="0.25">
      <c r="C54" s="58"/>
    </row>
    <row r="55" spans="1:12" ht="15" customHeight="1" x14ac:dyDescent="0.25">
      <c r="C55" s="58"/>
    </row>
    <row r="56" spans="1:12" ht="15" customHeight="1" x14ac:dyDescent="0.25">
      <c r="C56" s="58"/>
    </row>
    <row r="57" spans="1:12" ht="15" customHeight="1" x14ac:dyDescent="0.25">
      <c r="C57" s="58"/>
    </row>
    <row r="58" spans="1:12" ht="15" customHeight="1" x14ac:dyDescent="0.25">
      <c r="C58" s="58"/>
    </row>
    <row r="59" spans="1:12" ht="15" customHeight="1" x14ac:dyDescent="0.25">
      <c r="C59" s="58"/>
    </row>
    <row r="60" spans="1:12" ht="15" customHeight="1" x14ac:dyDescent="0.25">
      <c r="C60" s="58"/>
    </row>
    <row r="61" spans="1:12" ht="15" customHeight="1" x14ac:dyDescent="0.25">
      <c r="C61" s="58"/>
    </row>
    <row r="62" spans="1:12" ht="15" customHeight="1" x14ac:dyDescent="0.25">
      <c r="C62" s="58"/>
    </row>
    <row r="63" spans="1:12" ht="15" customHeight="1" x14ac:dyDescent="0.25">
      <c r="C63" s="58"/>
    </row>
    <row r="64" spans="1:12" ht="15" customHeight="1" x14ac:dyDescent="0.25">
      <c r="C64" s="58"/>
    </row>
    <row r="65" spans="3:3" ht="15" customHeight="1" x14ac:dyDescent="0.25">
      <c r="C65" s="58"/>
    </row>
    <row r="66" spans="3:3" ht="15" customHeight="1" x14ac:dyDescent="0.25">
      <c r="C66" s="58"/>
    </row>
    <row r="67" spans="3:3" ht="15" customHeight="1" x14ac:dyDescent="0.25">
      <c r="C67" s="58"/>
    </row>
    <row r="68" spans="3:3" ht="15" customHeight="1" x14ac:dyDescent="0.25">
      <c r="C68" s="58"/>
    </row>
    <row r="69" spans="3:3" ht="15" customHeight="1" x14ac:dyDescent="0.25">
      <c r="C69" s="58"/>
    </row>
    <row r="70" spans="3:3" ht="15" customHeight="1" x14ac:dyDescent="0.25">
      <c r="C70" s="58"/>
    </row>
    <row r="71" spans="3:3" ht="15" customHeight="1" x14ac:dyDescent="0.25">
      <c r="C71" s="58"/>
    </row>
  </sheetData>
  <mergeCells count="9">
    <mergeCell ref="C4:C49"/>
    <mergeCell ref="B5:B8"/>
    <mergeCell ref="D10:J10"/>
    <mergeCell ref="D14:J14"/>
    <mergeCell ref="F49:J49"/>
    <mergeCell ref="D30:J30"/>
    <mergeCell ref="G11:J11"/>
    <mergeCell ref="F41:J41"/>
    <mergeCell ref="F42:J42"/>
  </mergeCells>
  <pageMargins left="0.59055118110236204" right="0.196850393700787" top="0.59055118110236204" bottom="0.59055118110236204" header="0.118110236220472" footer="0.118110236220472"/>
  <pageSetup paperSize="9" scale="58" orientation="landscape" r:id="rId1"/>
  <headerFooter>
    <oddFooter>&amp;C&amp;A/&amp;P-&amp;N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topLeftCell="A37" zoomScale="70" zoomScaleNormal="70" workbookViewId="0">
      <selection activeCell="D35" sqref="D35"/>
    </sheetView>
  </sheetViews>
  <sheetFormatPr defaultRowHeight="15" x14ac:dyDescent="0.25"/>
  <cols>
    <col min="1" max="1" width="4.85546875" customWidth="1"/>
    <col min="2" max="2" width="27.85546875" customWidth="1"/>
    <col min="3" max="3" width="50.5703125" customWidth="1"/>
    <col min="4" max="4" width="72.140625" customWidth="1"/>
    <col min="5" max="5" width="7.7109375" customWidth="1"/>
    <col min="6" max="6" width="9.42578125" customWidth="1"/>
    <col min="7" max="7" width="12.85546875" customWidth="1"/>
    <col min="8" max="9" width="7.42578125" customWidth="1"/>
    <col min="10" max="10" width="15.42578125" customWidth="1"/>
    <col min="11" max="11" width="16.28515625" customWidth="1"/>
    <col min="12" max="12" width="6" customWidth="1"/>
  </cols>
  <sheetData>
    <row r="1" spans="1:12" ht="18.75" x14ac:dyDescent="0.3">
      <c r="A1" s="1" t="s">
        <v>0</v>
      </c>
      <c r="B1" s="2"/>
      <c r="C1" s="3"/>
      <c r="D1" s="3"/>
      <c r="E1" s="3"/>
      <c r="F1" s="3"/>
      <c r="G1" s="3"/>
      <c r="H1" s="3"/>
      <c r="I1" s="3"/>
      <c r="J1" s="3"/>
      <c r="K1" s="2"/>
      <c r="L1" s="2"/>
    </row>
    <row r="2" spans="1:12" ht="75" x14ac:dyDescent="0.25">
      <c r="A2" s="4" t="s">
        <v>1</v>
      </c>
      <c r="B2" s="5" t="s">
        <v>2</v>
      </c>
      <c r="C2" s="6" t="s">
        <v>3</v>
      </c>
      <c r="D2" s="6" t="s">
        <v>4</v>
      </c>
      <c r="E2" s="6" t="s">
        <v>5</v>
      </c>
      <c r="F2" s="7" t="s">
        <v>6</v>
      </c>
      <c r="G2" s="8" t="s">
        <v>7</v>
      </c>
      <c r="H2" s="9" t="s">
        <v>8</v>
      </c>
      <c r="I2" s="9" t="s">
        <v>9</v>
      </c>
      <c r="J2" s="8" t="s">
        <v>10</v>
      </c>
      <c r="K2" s="10" t="s">
        <v>11</v>
      </c>
      <c r="L2" s="10" t="s">
        <v>12</v>
      </c>
    </row>
    <row r="3" spans="1:12" ht="18.75" x14ac:dyDescent="0.25">
      <c r="A3" s="11">
        <v>1</v>
      </c>
      <c r="B3" s="12">
        <v>2</v>
      </c>
      <c r="C3" s="13">
        <v>3</v>
      </c>
      <c r="D3" s="14">
        <v>4</v>
      </c>
      <c r="E3" s="13">
        <v>5</v>
      </c>
      <c r="F3" s="13">
        <v>6</v>
      </c>
      <c r="G3" s="13">
        <v>7</v>
      </c>
      <c r="H3" s="13">
        <v>8</v>
      </c>
      <c r="I3" s="13">
        <v>9</v>
      </c>
      <c r="J3" s="12">
        <v>10</v>
      </c>
      <c r="K3" s="14">
        <v>11</v>
      </c>
      <c r="L3" s="14">
        <v>12</v>
      </c>
    </row>
    <row r="4" spans="1:12" ht="37.5" customHeight="1" x14ac:dyDescent="0.3">
      <c r="A4" s="15">
        <v>2</v>
      </c>
      <c r="B4" s="16" t="s">
        <v>60</v>
      </c>
      <c r="C4" s="387" t="s">
        <v>436</v>
      </c>
      <c r="D4" s="78"/>
      <c r="E4" s="79"/>
      <c r="F4" s="79"/>
      <c r="G4" s="79"/>
      <c r="H4" s="79"/>
      <c r="I4" s="79"/>
      <c r="J4" s="80"/>
      <c r="K4" s="81"/>
      <c r="L4" s="17"/>
    </row>
    <row r="5" spans="1:12" ht="44.25" customHeight="1" x14ac:dyDescent="0.3">
      <c r="A5" s="18"/>
      <c r="B5" s="390" t="s">
        <v>61</v>
      </c>
      <c r="C5" s="388"/>
      <c r="D5" s="82" t="s">
        <v>13</v>
      </c>
      <c r="E5" s="83"/>
      <c r="F5" s="84"/>
      <c r="G5" s="83"/>
      <c r="H5" s="83"/>
      <c r="I5" s="83"/>
      <c r="J5" s="85">
        <v>0</v>
      </c>
      <c r="K5" s="86"/>
      <c r="L5" s="18"/>
    </row>
    <row r="6" spans="1:12" ht="18.75" x14ac:dyDescent="0.3">
      <c r="A6" s="18"/>
      <c r="B6" s="390"/>
      <c r="C6" s="388"/>
      <c r="D6" s="19" t="s">
        <v>62</v>
      </c>
      <c r="E6" s="87" t="s">
        <v>14</v>
      </c>
      <c r="F6" s="88">
        <v>109</v>
      </c>
      <c r="G6" s="89"/>
      <c r="H6" s="90"/>
      <c r="I6" s="90"/>
      <c r="J6" s="89"/>
      <c r="K6" s="91"/>
      <c r="L6" s="18"/>
    </row>
    <row r="7" spans="1:12" ht="18.75" x14ac:dyDescent="0.3">
      <c r="A7" s="18"/>
      <c r="B7" s="390"/>
      <c r="C7" s="388"/>
      <c r="D7" s="95" t="s">
        <v>63</v>
      </c>
      <c r="E7" s="20" t="s">
        <v>14</v>
      </c>
      <c r="F7" s="93">
        <f>F6</f>
        <v>109</v>
      </c>
      <c r="G7" s="94"/>
      <c r="H7" s="90"/>
      <c r="I7" s="90"/>
      <c r="J7" s="89"/>
      <c r="K7" s="91"/>
      <c r="L7" s="18"/>
    </row>
    <row r="8" spans="1:12" ht="46.5" customHeight="1" x14ac:dyDescent="0.3">
      <c r="A8" s="21"/>
      <c r="B8" s="390"/>
      <c r="C8" s="388"/>
      <c r="D8" s="95" t="s">
        <v>15</v>
      </c>
      <c r="E8" s="20" t="s">
        <v>14</v>
      </c>
      <c r="F8" s="93">
        <v>0</v>
      </c>
      <c r="G8" s="89"/>
      <c r="H8" s="90"/>
      <c r="I8" s="90"/>
      <c r="J8" s="94"/>
      <c r="K8" s="91"/>
      <c r="L8" s="18"/>
    </row>
    <row r="9" spans="1:12" ht="18.75" x14ac:dyDescent="0.3">
      <c r="A9" s="21"/>
      <c r="B9" s="65" t="s">
        <v>16</v>
      </c>
      <c r="C9" s="388"/>
      <c r="D9" s="96" t="s">
        <v>223</v>
      </c>
      <c r="E9" s="87"/>
      <c r="F9" s="97"/>
      <c r="G9" s="89"/>
      <c r="H9" s="90"/>
      <c r="I9" s="90"/>
      <c r="J9" s="89"/>
      <c r="K9" s="91"/>
      <c r="L9" s="18"/>
    </row>
    <row r="10" spans="1:12" ht="120.75" customHeight="1" x14ac:dyDescent="0.3">
      <c r="A10" s="21"/>
      <c r="B10" s="22" t="s">
        <v>64</v>
      </c>
      <c r="C10" s="388"/>
      <c r="D10" s="391" t="s">
        <v>180</v>
      </c>
      <c r="E10" s="392"/>
      <c r="F10" s="392"/>
      <c r="G10" s="392"/>
      <c r="H10" s="392"/>
      <c r="I10" s="392"/>
      <c r="J10" s="393"/>
      <c r="K10" s="23"/>
      <c r="L10" s="18"/>
    </row>
    <row r="11" spans="1:12" ht="92.25" customHeight="1" x14ac:dyDescent="0.3">
      <c r="A11" s="21"/>
      <c r="B11" s="66" t="s">
        <v>17</v>
      </c>
      <c r="C11" s="388"/>
      <c r="D11" s="76" t="s">
        <v>59</v>
      </c>
      <c r="E11" s="20" t="s">
        <v>14</v>
      </c>
      <c r="F11" s="77">
        <f>F7</f>
        <v>109</v>
      </c>
      <c r="G11" s="401" t="s">
        <v>181</v>
      </c>
      <c r="H11" s="402"/>
      <c r="I11" s="402"/>
      <c r="J11" s="403"/>
      <c r="K11" s="209"/>
      <c r="L11" s="18"/>
    </row>
    <row r="12" spans="1:12" ht="58.5" customHeight="1" x14ac:dyDescent="0.3">
      <c r="A12" s="21"/>
      <c r="B12" s="22" t="s">
        <v>18</v>
      </c>
      <c r="C12" s="388"/>
      <c r="D12" s="19" t="s">
        <v>19</v>
      </c>
      <c r="E12" s="26"/>
      <c r="F12" s="27"/>
      <c r="G12" s="24"/>
      <c r="H12" s="25"/>
      <c r="I12" s="25"/>
      <c r="J12" s="98">
        <f>J13+J27+J28</f>
        <v>313055897</v>
      </c>
      <c r="K12" s="23"/>
      <c r="L12" s="18"/>
    </row>
    <row r="13" spans="1:12" ht="18.75" x14ac:dyDescent="0.3">
      <c r="A13" s="21"/>
      <c r="C13" s="388"/>
      <c r="D13" s="19" t="s">
        <v>20</v>
      </c>
      <c r="E13" s="26"/>
      <c r="F13" s="27"/>
      <c r="G13" s="24"/>
      <c r="H13" s="25"/>
      <c r="I13" s="25"/>
      <c r="J13" s="98">
        <f>SUM(J15:J26)</f>
        <v>312665897</v>
      </c>
      <c r="K13" s="23"/>
      <c r="L13" s="18"/>
    </row>
    <row r="14" spans="1:12" ht="198.75" customHeight="1" x14ac:dyDescent="0.3">
      <c r="A14" s="21"/>
      <c r="C14" s="388"/>
      <c r="D14" s="394" t="s">
        <v>51</v>
      </c>
      <c r="E14" s="406"/>
      <c r="F14" s="406"/>
      <c r="G14" s="406"/>
      <c r="H14" s="406"/>
      <c r="I14" s="406"/>
      <c r="J14" s="407"/>
      <c r="K14" s="23"/>
      <c r="L14" s="18"/>
    </row>
    <row r="15" spans="1:12" ht="123.75" customHeight="1" x14ac:dyDescent="0.3">
      <c r="A15" s="21"/>
      <c r="B15" s="112"/>
      <c r="C15" s="388"/>
      <c r="D15" s="100" t="s">
        <v>422</v>
      </c>
      <c r="E15" s="26" t="s">
        <v>21</v>
      </c>
      <c r="F15" s="101">
        <f xml:space="preserve"> (5.8*7.6)+(2.4*7)</f>
        <v>60.879999999999995</v>
      </c>
      <c r="G15" s="102">
        <f>(4311253*1.12)+(4311253*8.5%)</f>
        <v>5195059.8650000002</v>
      </c>
      <c r="H15" s="103"/>
      <c r="I15" s="104">
        <v>0.8</v>
      </c>
      <c r="J15" s="24">
        <f>ROUND((F15*G15*I15),0)</f>
        <v>253020196</v>
      </c>
      <c r="K15" s="23"/>
      <c r="L15" s="23"/>
    </row>
    <row r="16" spans="1:12" ht="206.25" x14ac:dyDescent="0.3">
      <c r="A16" s="21"/>
      <c r="B16" s="112"/>
      <c r="C16" s="388"/>
      <c r="D16" s="110" t="s">
        <v>65</v>
      </c>
      <c r="E16" s="103"/>
      <c r="F16" s="101"/>
      <c r="G16" s="106"/>
      <c r="H16" s="103"/>
      <c r="I16" s="103"/>
      <c r="J16" s="107"/>
      <c r="K16" s="23"/>
      <c r="L16" s="23"/>
    </row>
    <row r="17" spans="1:12" ht="37.5" x14ac:dyDescent="0.3">
      <c r="A17" s="21"/>
      <c r="B17" s="324"/>
      <c r="C17" s="388"/>
      <c r="D17" s="108" t="s">
        <v>71</v>
      </c>
      <c r="E17" s="26" t="s">
        <v>14</v>
      </c>
      <c r="F17" s="109">
        <f xml:space="preserve"> (0.95*4.1) + (5.1*0.8) + (5.1*1.8)</f>
        <v>17.155000000000001</v>
      </c>
      <c r="G17" s="102">
        <v>401056</v>
      </c>
      <c r="H17" s="103"/>
      <c r="I17" s="104">
        <v>0.8</v>
      </c>
      <c r="J17" s="24">
        <f>ROUND((F17*G17*I17),0)</f>
        <v>5504093</v>
      </c>
      <c r="K17" s="23"/>
      <c r="L17" s="23"/>
    </row>
    <row r="18" spans="1:12" ht="56.25" x14ac:dyDescent="0.3">
      <c r="A18" s="21"/>
      <c r="B18" s="324"/>
      <c r="C18" s="388"/>
      <c r="D18" s="105" t="s">
        <v>72</v>
      </c>
      <c r="E18" s="26"/>
      <c r="F18" s="109"/>
      <c r="G18" s="102"/>
      <c r="H18" s="103"/>
      <c r="I18" s="104"/>
      <c r="J18" s="24"/>
      <c r="K18" s="23"/>
      <c r="L18" s="23"/>
    </row>
    <row r="19" spans="1:12" ht="37.5" x14ac:dyDescent="0.3">
      <c r="A19" s="21"/>
      <c r="B19" s="112"/>
      <c r="C19" s="388"/>
      <c r="D19" s="92" t="s">
        <v>66</v>
      </c>
      <c r="E19" s="26" t="s">
        <v>21</v>
      </c>
      <c r="F19" s="101">
        <f>(6.9*3.5)+(7.6*1.3)</f>
        <v>34.03</v>
      </c>
      <c r="G19" s="102">
        <v>1259097</v>
      </c>
      <c r="H19" s="103"/>
      <c r="I19" s="104">
        <v>0.8</v>
      </c>
      <c r="J19" s="24">
        <f>ROUND((F19*G19*I19),0)</f>
        <v>34277657</v>
      </c>
      <c r="K19" s="23"/>
      <c r="L19" s="23"/>
    </row>
    <row r="20" spans="1:12" ht="56.25" x14ac:dyDescent="0.3">
      <c r="A20" s="21"/>
      <c r="B20" s="112"/>
      <c r="C20" s="388"/>
      <c r="D20" s="110" t="s">
        <v>46</v>
      </c>
      <c r="E20" s="103"/>
      <c r="F20" s="106"/>
      <c r="G20" s="106"/>
      <c r="H20" s="103"/>
      <c r="I20" s="103"/>
      <c r="J20" s="107"/>
      <c r="K20" s="23"/>
      <c r="L20" s="23"/>
    </row>
    <row r="21" spans="1:12" ht="18.75" x14ac:dyDescent="0.3">
      <c r="A21" s="21"/>
      <c r="B21" s="112"/>
      <c r="C21" s="388"/>
      <c r="D21" s="108" t="s">
        <v>67</v>
      </c>
      <c r="E21" s="26" t="s">
        <v>38</v>
      </c>
      <c r="F21" s="111">
        <v>2.4</v>
      </c>
      <c r="G21" s="102">
        <v>3855960</v>
      </c>
      <c r="H21" s="103"/>
      <c r="I21" s="104">
        <v>1</v>
      </c>
      <c r="J21" s="24">
        <f>ROUND((F21*G21*I21),0)</f>
        <v>9254304</v>
      </c>
      <c r="K21" s="23"/>
      <c r="L21" s="23"/>
    </row>
    <row r="22" spans="1:12" ht="56.25" x14ac:dyDescent="0.3">
      <c r="A22" s="21"/>
      <c r="B22" s="112"/>
      <c r="C22" s="388"/>
      <c r="D22" s="105" t="s">
        <v>68</v>
      </c>
      <c r="E22" s="103"/>
      <c r="F22" s="106"/>
      <c r="G22" s="106"/>
      <c r="H22" s="103"/>
      <c r="I22" s="103"/>
      <c r="J22" s="107"/>
      <c r="K22" s="23"/>
      <c r="L22" s="23"/>
    </row>
    <row r="23" spans="1:12" ht="37.5" x14ac:dyDescent="0.3">
      <c r="A23" s="21"/>
      <c r="B23" s="112"/>
      <c r="C23" s="388"/>
      <c r="D23" s="108" t="s">
        <v>69</v>
      </c>
      <c r="E23" s="26" t="s">
        <v>38</v>
      </c>
      <c r="F23" s="101">
        <v>19.2</v>
      </c>
      <c r="G23" s="102">
        <v>537955</v>
      </c>
      <c r="H23" s="103"/>
      <c r="I23" s="104">
        <v>1</v>
      </c>
      <c r="J23" s="24">
        <f>ROUND((F23*G23*I23),0)</f>
        <v>10328736</v>
      </c>
      <c r="K23" s="23"/>
      <c r="L23" s="23"/>
    </row>
    <row r="24" spans="1:12" ht="56.25" x14ac:dyDescent="0.3">
      <c r="A24" s="21"/>
      <c r="B24" s="21"/>
      <c r="C24" s="388"/>
      <c r="D24" s="105" t="s">
        <v>70</v>
      </c>
      <c r="E24" s="26"/>
      <c r="F24" s="106"/>
      <c r="G24" s="106"/>
      <c r="H24" s="103"/>
      <c r="I24" s="103"/>
      <c r="J24" s="107"/>
      <c r="K24" s="23"/>
      <c r="L24" s="23"/>
    </row>
    <row r="25" spans="1:12" ht="37.5" x14ac:dyDescent="0.3">
      <c r="A25" s="21"/>
      <c r="B25" s="21"/>
      <c r="C25" s="388"/>
      <c r="D25" s="108" t="s">
        <v>73</v>
      </c>
      <c r="E25" s="26" t="s">
        <v>14</v>
      </c>
      <c r="F25" s="26">
        <f>0.6*0.8*3</f>
        <v>1.44</v>
      </c>
      <c r="G25" s="102">
        <v>195077</v>
      </c>
      <c r="H25" s="103"/>
      <c r="I25" s="104">
        <v>1</v>
      </c>
      <c r="J25" s="24">
        <f t="shared" ref="J25" si="0">ROUND((F25*G25*I25),0)</f>
        <v>280911</v>
      </c>
      <c r="K25" s="23"/>
      <c r="L25" s="67"/>
    </row>
    <row r="26" spans="1:12" ht="56.25" x14ac:dyDescent="0.3">
      <c r="A26" s="21"/>
      <c r="B26" s="21"/>
      <c r="C26" s="388"/>
      <c r="D26" s="105" t="s">
        <v>74</v>
      </c>
      <c r="E26" s="26"/>
      <c r="F26" s="109"/>
      <c r="G26" s="102"/>
      <c r="H26" s="103"/>
      <c r="I26" s="104"/>
      <c r="J26" s="24"/>
      <c r="K26" s="23"/>
      <c r="L26" s="67"/>
    </row>
    <row r="27" spans="1:12" ht="18.75" x14ac:dyDescent="0.3">
      <c r="A27" s="18"/>
      <c r="B27" s="36"/>
      <c r="C27" s="388"/>
      <c r="D27" s="19" t="s">
        <v>22</v>
      </c>
      <c r="E27" s="26"/>
      <c r="F27" s="27"/>
      <c r="G27" s="24"/>
      <c r="H27" s="25"/>
      <c r="I27" s="25"/>
      <c r="J27" s="98">
        <f t="shared" ref="J27:J32" si="1">ROUND((F27*G27*I27),0)</f>
        <v>0</v>
      </c>
      <c r="K27" s="23"/>
      <c r="L27" s="18"/>
    </row>
    <row r="28" spans="1:12" ht="18.75" x14ac:dyDescent="0.3">
      <c r="A28" s="18"/>
      <c r="B28" s="36"/>
      <c r="C28" s="388"/>
      <c r="D28" s="19" t="s">
        <v>23</v>
      </c>
      <c r="E28" s="26"/>
      <c r="F28" s="27"/>
      <c r="G28" s="28"/>
      <c r="H28" s="25"/>
      <c r="I28" s="25"/>
      <c r="J28" s="98">
        <f>SUM(J30:J32)</f>
        <v>390000</v>
      </c>
      <c r="K28" s="23"/>
      <c r="L28" s="18"/>
    </row>
    <row r="29" spans="1:12" ht="121.5" customHeight="1" x14ac:dyDescent="0.3">
      <c r="A29" s="18"/>
      <c r="B29" s="36"/>
      <c r="C29" s="388"/>
      <c r="D29" s="398" t="s">
        <v>36</v>
      </c>
      <c r="E29" s="399"/>
      <c r="F29" s="399"/>
      <c r="G29" s="399"/>
      <c r="H29" s="399"/>
      <c r="I29" s="399"/>
      <c r="J29" s="400"/>
      <c r="K29" s="23"/>
      <c r="L29" s="18"/>
    </row>
    <row r="30" spans="1:12" ht="37.5" customHeight="1" x14ac:dyDescent="0.3">
      <c r="A30" s="18"/>
      <c r="B30" s="36"/>
      <c r="C30" s="388"/>
      <c r="D30" s="69" t="s">
        <v>424</v>
      </c>
      <c r="E30" s="20" t="s">
        <v>24</v>
      </c>
      <c r="F30" s="70">
        <v>1</v>
      </c>
      <c r="G30" s="24">
        <v>168000</v>
      </c>
      <c r="H30" s="117"/>
      <c r="I30" s="104">
        <v>1</v>
      </c>
      <c r="J30" s="24">
        <f>F30*G30*I30</f>
        <v>168000</v>
      </c>
      <c r="K30" s="23"/>
      <c r="L30" s="18"/>
    </row>
    <row r="31" spans="1:12" ht="37.5" customHeight="1" x14ac:dyDescent="0.3">
      <c r="A31" s="18"/>
      <c r="B31" s="36"/>
      <c r="C31" s="388"/>
      <c r="D31" s="69" t="s">
        <v>423</v>
      </c>
      <c r="E31" s="20" t="s">
        <v>24</v>
      </c>
      <c r="F31" s="70">
        <v>1</v>
      </c>
      <c r="G31" s="24">
        <v>169000</v>
      </c>
      <c r="H31" s="117"/>
      <c r="I31" s="104">
        <v>1</v>
      </c>
      <c r="J31" s="24">
        <f>F31*G31*I31</f>
        <v>169000</v>
      </c>
      <c r="K31" s="23"/>
      <c r="L31" s="18"/>
    </row>
    <row r="32" spans="1:12" ht="41.25" customHeight="1" x14ac:dyDescent="0.3">
      <c r="A32" s="18"/>
      <c r="B32" s="36"/>
      <c r="C32" s="388"/>
      <c r="D32" s="57" t="s">
        <v>425</v>
      </c>
      <c r="E32" s="20" t="s">
        <v>24</v>
      </c>
      <c r="F32" s="35">
        <v>1</v>
      </c>
      <c r="G32" s="24">
        <v>53000</v>
      </c>
      <c r="H32" s="116"/>
      <c r="I32" s="104">
        <v>1</v>
      </c>
      <c r="J32" s="24">
        <f t="shared" si="1"/>
        <v>53000</v>
      </c>
      <c r="K32" s="23"/>
      <c r="L32" s="18"/>
    </row>
    <row r="33" spans="1:13" ht="33.75" customHeight="1" x14ac:dyDescent="0.3">
      <c r="A33" s="18"/>
      <c r="B33" s="36"/>
      <c r="C33" s="388"/>
      <c r="D33" s="19" t="s">
        <v>25</v>
      </c>
      <c r="E33" s="26"/>
      <c r="F33" s="27"/>
      <c r="G33" s="158"/>
      <c r="H33" s="29"/>
      <c r="I33" s="29"/>
      <c r="J33" s="29">
        <v>0</v>
      </c>
      <c r="K33" s="63"/>
      <c r="L33" s="18"/>
    </row>
    <row r="34" spans="1:13" ht="30.75" customHeight="1" x14ac:dyDescent="0.3">
      <c r="A34" s="18"/>
      <c r="B34" s="36"/>
      <c r="C34" s="388"/>
      <c r="D34" s="30" t="s">
        <v>37</v>
      </c>
      <c r="E34" s="31"/>
      <c r="F34" s="32"/>
      <c r="G34" s="59"/>
      <c r="H34" s="60"/>
      <c r="I34" s="60"/>
      <c r="J34" s="61">
        <f>SUM(J36+J35)</f>
        <v>0</v>
      </c>
      <c r="K34" s="23"/>
      <c r="L34" s="18"/>
    </row>
    <row r="35" spans="1:13" ht="181.5" customHeight="1" x14ac:dyDescent="0.3">
      <c r="A35" s="18"/>
      <c r="B35" s="36"/>
      <c r="C35" s="388"/>
      <c r="D35" s="68" t="s">
        <v>420</v>
      </c>
      <c r="E35" s="404" t="s">
        <v>319</v>
      </c>
      <c r="F35" s="404"/>
      <c r="G35" s="404"/>
      <c r="H35" s="404"/>
      <c r="I35" s="404"/>
      <c r="J35" s="74"/>
      <c r="K35" s="23"/>
      <c r="L35" s="18"/>
    </row>
    <row r="36" spans="1:13" ht="158.25" customHeight="1" x14ac:dyDescent="0.3">
      <c r="A36" s="18"/>
      <c r="B36" s="36"/>
      <c r="C36" s="388"/>
      <c r="D36" s="34" t="s">
        <v>421</v>
      </c>
      <c r="E36" s="405" t="s">
        <v>320</v>
      </c>
      <c r="F36" s="405"/>
      <c r="G36" s="405"/>
      <c r="H36" s="405"/>
      <c r="I36" s="405"/>
      <c r="J36" s="74">
        <v>0</v>
      </c>
      <c r="K36" s="23"/>
      <c r="L36" s="18"/>
      <c r="M36" s="64"/>
    </row>
    <row r="37" spans="1:13" ht="27" customHeight="1" x14ac:dyDescent="0.3">
      <c r="A37" s="18"/>
      <c r="B37" s="18"/>
      <c r="C37" s="388"/>
      <c r="D37" s="39" t="s">
        <v>26</v>
      </c>
      <c r="E37" s="40"/>
      <c r="F37" s="41"/>
      <c r="G37" s="42"/>
      <c r="H37" s="43"/>
      <c r="I37" s="43"/>
      <c r="J37" s="44">
        <f>J5+J12+J34</f>
        <v>313055897</v>
      </c>
      <c r="K37" s="23"/>
      <c r="L37" s="18"/>
    </row>
    <row r="38" spans="1:13" ht="24" customHeight="1" x14ac:dyDescent="0.3">
      <c r="A38" s="18"/>
      <c r="B38" s="18"/>
      <c r="C38" s="388"/>
      <c r="D38" s="19" t="s">
        <v>27</v>
      </c>
      <c r="E38" s="31"/>
      <c r="F38" s="45"/>
      <c r="G38" s="37"/>
      <c r="H38" s="37"/>
      <c r="I38" s="37"/>
      <c r="J38" s="33">
        <f>J40</f>
        <v>8000000</v>
      </c>
      <c r="K38" s="23"/>
      <c r="L38" s="18"/>
    </row>
    <row r="39" spans="1:13" ht="37.5" x14ac:dyDescent="0.3">
      <c r="A39" s="18"/>
      <c r="B39" s="18"/>
      <c r="C39" s="388"/>
      <c r="D39" s="46" t="s">
        <v>28</v>
      </c>
      <c r="E39" s="31"/>
      <c r="F39" s="45"/>
      <c r="G39" s="37"/>
      <c r="H39" s="37"/>
      <c r="I39" s="37"/>
      <c r="J39" s="33"/>
      <c r="K39" s="23"/>
      <c r="L39" s="18"/>
    </row>
    <row r="40" spans="1:13" ht="131.25" x14ac:dyDescent="0.3">
      <c r="A40" s="18"/>
      <c r="B40" s="18"/>
      <c r="C40" s="388"/>
      <c r="D40" s="47" t="s">
        <v>29</v>
      </c>
      <c r="E40" s="40" t="s">
        <v>30</v>
      </c>
      <c r="F40" s="42">
        <v>1</v>
      </c>
      <c r="G40" s="28">
        <f>IF(J37*10%&gt;=8000000,8000000,IF(J37*10%&lt;=1000000,1000000,J37*10%))</f>
        <v>8000000</v>
      </c>
      <c r="H40" s="43"/>
      <c r="I40" s="43"/>
      <c r="J40" s="42">
        <f>F40*G40</f>
        <v>8000000</v>
      </c>
      <c r="K40" s="23"/>
      <c r="L40" s="18"/>
    </row>
    <row r="41" spans="1:13" ht="37.5" x14ac:dyDescent="0.3">
      <c r="A41" s="18"/>
      <c r="B41" s="48"/>
      <c r="C41" s="388"/>
      <c r="D41" s="39" t="s">
        <v>31</v>
      </c>
      <c r="E41" s="40"/>
      <c r="F41" s="42"/>
      <c r="G41" s="28"/>
      <c r="H41" s="43"/>
      <c r="I41" s="43"/>
      <c r="J41" s="42"/>
      <c r="K41" s="49">
        <f>J37+J38</f>
        <v>321055897</v>
      </c>
      <c r="L41" s="18"/>
    </row>
    <row r="42" spans="1:13" ht="18.75" x14ac:dyDescent="0.3">
      <c r="A42" s="18"/>
      <c r="B42" s="18"/>
      <c r="C42" s="388"/>
      <c r="D42" s="52" t="s">
        <v>32</v>
      </c>
      <c r="E42" s="50"/>
      <c r="F42" s="51"/>
      <c r="G42" s="52"/>
      <c r="H42" s="52"/>
      <c r="I42" s="52"/>
      <c r="J42" s="52"/>
      <c r="K42" s="52"/>
      <c r="L42" s="18"/>
    </row>
    <row r="43" spans="1:13" ht="346.5" customHeight="1" x14ac:dyDescent="0.3">
      <c r="A43" s="53"/>
      <c r="B43" s="53"/>
      <c r="C43" s="389"/>
      <c r="D43" s="323" t="s">
        <v>33</v>
      </c>
      <c r="E43" s="55"/>
      <c r="F43" s="408" t="s">
        <v>34</v>
      </c>
      <c r="G43" s="408"/>
      <c r="H43" s="408"/>
      <c r="I43" s="408"/>
      <c r="J43" s="408"/>
      <c r="K43" s="56"/>
      <c r="L43" s="53"/>
    </row>
    <row r="44" spans="1:13" ht="18.75" x14ac:dyDescent="0.25">
      <c r="C44" s="58"/>
    </row>
    <row r="45" spans="1:13" ht="18.75" x14ac:dyDescent="0.25">
      <c r="C45" s="58"/>
    </row>
    <row r="46" spans="1:13" ht="18.75" x14ac:dyDescent="0.25">
      <c r="C46" s="58"/>
    </row>
    <row r="47" spans="1:13" ht="18.75" x14ac:dyDescent="0.25">
      <c r="C47" s="58"/>
    </row>
    <row r="48" spans="1:13" ht="18.75" x14ac:dyDescent="0.25">
      <c r="C48" s="58"/>
    </row>
    <row r="49" spans="3:3" ht="18.75" x14ac:dyDescent="0.25">
      <c r="C49" s="58"/>
    </row>
    <row r="50" spans="3:3" ht="18.75" x14ac:dyDescent="0.25">
      <c r="C50" s="58"/>
    </row>
    <row r="51" spans="3:3" ht="18.75" x14ac:dyDescent="0.25">
      <c r="C51" s="58"/>
    </row>
    <row r="52" spans="3:3" ht="18.75" x14ac:dyDescent="0.25">
      <c r="C52" s="58"/>
    </row>
    <row r="53" spans="3:3" ht="18.75" x14ac:dyDescent="0.25">
      <c r="C53" s="58"/>
    </row>
    <row r="54" spans="3:3" ht="18.75" x14ac:dyDescent="0.25">
      <c r="C54" s="58"/>
    </row>
    <row r="55" spans="3:3" ht="18.75" x14ac:dyDescent="0.25">
      <c r="C55" s="58"/>
    </row>
    <row r="56" spans="3:3" ht="18.75" x14ac:dyDescent="0.25">
      <c r="C56" s="58"/>
    </row>
    <row r="57" spans="3:3" ht="18.75" x14ac:dyDescent="0.25">
      <c r="C57" s="58"/>
    </row>
    <row r="58" spans="3:3" ht="18.75" x14ac:dyDescent="0.25">
      <c r="C58" s="58"/>
    </row>
    <row r="59" spans="3:3" ht="18.75" x14ac:dyDescent="0.25">
      <c r="C59" s="58"/>
    </row>
    <row r="60" spans="3:3" ht="18.75" x14ac:dyDescent="0.25">
      <c r="C60" s="58"/>
    </row>
    <row r="61" spans="3:3" ht="18.75" x14ac:dyDescent="0.25">
      <c r="C61" s="58"/>
    </row>
    <row r="62" spans="3:3" ht="18.75" x14ac:dyDescent="0.25">
      <c r="C62" s="58"/>
    </row>
    <row r="63" spans="3:3" ht="18.75" x14ac:dyDescent="0.25">
      <c r="C63" s="58"/>
    </row>
    <row r="64" spans="3:3" ht="18.75" x14ac:dyDescent="0.25">
      <c r="C64" s="58"/>
    </row>
    <row r="65" spans="3:3" ht="18.75" x14ac:dyDescent="0.25">
      <c r="C65" s="58"/>
    </row>
  </sheetData>
  <mergeCells count="9">
    <mergeCell ref="C4:C43"/>
    <mergeCell ref="B5:B8"/>
    <mergeCell ref="D10:J10"/>
    <mergeCell ref="D14:J14"/>
    <mergeCell ref="D29:J29"/>
    <mergeCell ref="E35:I35"/>
    <mergeCell ref="F43:J43"/>
    <mergeCell ref="G11:J11"/>
    <mergeCell ref="E36:I36"/>
  </mergeCells>
  <pageMargins left="0.7" right="0.7" top="0.5" bottom="0.5" header="0.3" footer="0.3"/>
  <pageSetup paperSize="9" scale="55" fitToHeight="0" orientation="landscape" verticalDpi="0" r:id="rId1"/>
  <headerFooter>
    <oddFooter>&amp;C&amp;A/&amp;P-&amp;N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9"/>
  <sheetViews>
    <sheetView topLeftCell="A22" zoomScale="70" zoomScaleNormal="70" workbookViewId="0">
      <selection activeCell="G35" sqref="G35"/>
    </sheetView>
  </sheetViews>
  <sheetFormatPr defaultColWidth="9" defaultRowHeight="15" x14ac:dyDescent="0.25"/>
  <cols>
    <col min="1" max="1" width="4.85546875" style="99" customWidth="1"/>
    <col min="2" max="2" width="25.5703125" style="99" customWidth="1"/>
    <col min="3" max="3" width="52.140625" style="99" customWidth="1"/>
    <col min="4" max="4" width="65.5703125" style="99" customWidth="1"/>
    <col min="5" max="5" width="8.5703125" style="99" customWidth="1"/>
    <col min="6" max="6" width="9.42578125" style="99" customWidth="1"/>
    <col min="7" max="7" width="14.5703125" style="99" customWidth="1"/>
    <col min="8" max="8" width="7.42578125" style="99" customWidth="1"/>
    <col min="9" max="9" width="11" style="99" customWidth="1"/>
    <col min="10" max="10" width="19.28515625" style="99" customWidth="1"/>
    <col min="11" max="11" width="16"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75"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37.5" x14ac:dyDescent="0.3">
      <c r="A4" s="15">
        <v>3</v>
      </c>
      <c r="B4" s="326" t="s">
        <v>117</v>
      </c>
      <c r="C4" s="414" t="s">
        <v>440</v>
      </c>
      <c r="D4" s="78"/>
      <c r="E4" s="79"/>
      <c r="F4" s="79"/>
      <c r="G4" s="79"/>
      <c r="H4" s="79"/>
      <c r="I4" s="79"/>
      <c r="J4" s="80"/>
      <c r="K4" s="81"/>
      <c r="L4" s="17"/>
    </row>
    <row r="5" spans="1:18" ht="24.75" customHeight="1" x14ac:dyDescent="0.3">
      <c r="A5" s="18"/>
      <c r="B5" s="417" t="s">
        <v>118</v>
      </c>
      <c r="C5" s="415"/>
      <c r="D5" s="82" t="s">
        <v>13</v>
      </c>
      <c r="E5" s="83"/>
      <c r="F5" s="83"/>
      <c r="G5" s="83"/>
      <c r="H5" s="83"/>
      <c r="I5" s="83"/>
      <c r="J5" s="160">
        <v>0</v>
      </c>
      <c r="K5" s="86"/>
      <c r="L5" s="18"/>
    </row>
    <row r="6" spans="1:18" ht="18.75" x14ac:dyDescent="0.3">
      <c r="A6" s="18"/>
      <c r="B6" s="418"/>
      <c r="C6" s="415"/>
      <c r="D6" s="19" t="s">
        <v>119</v>
      </c>
      <c r="E6" s="87" t="s">
        <v>14</v>
      </c>
      <c r="F6" s="161">
        <v>244</v>
      </c>
      <c r="G6" s="89"/>
      <c r="H6" s="90"/>
      <c r="I6" s="90"/>
      <c r="J6" s="89"/>
      <c r="K6" s="91"/>
      <c r="L6" s="18"/>
    </row>
    <row r="7" spans="1:18" ht="25.5" customHeight="1" x14ac:dyDescent="0.3">
      <c r="A7" s="18"/>
      <c r="B7" s="418"/>
      <c r="C7" s="415"/>
      <c r="D7" s="95" t="s">
        <v>63</v>
      </c>
      <c r="E7" s="20" t="s">
        <v>14</v>
      </c>
      <c r="F7" s="162">
        <v>244</v>
      </c>
      <c r="G7" s="94"/>
      <c r="H7" s="90"/>
      <c r="I7" s="90"/>
      <c r="J7" s="89"/>
      <c r="K7" s="91"/>
      <c r="L7" s="18"/>
    </row>
    <row r="8" spans="1:18" ht="33" customHeight="1" x14ac:dyDescent="0.3">
      <c r="A8" s="21"/>
      <c r="B8" s="418"/>
      <c r="C8" s="415"/>
      <c r="D8" s="95" t="s">
        <v>15</v>
      </c>
      <c r="E8" s="20" t="s">
        <v>14</v>
      </c>
      <c r="F8" s="162">
        <v>0</v>
      </c>
      <c r="G8" s="89"/>
      <c r="H8" s="90"/>
      <c r="I8" s="90"/>
      <c r="J8" s="94"/>
      <c r="K8" s="91"/>
      <c r="L8" s="18"/>
    </row>
    <row r="9" spans="1:18" ht="56.25" x14ac:dyDescent="0.3">
      <c r="A9" s="21"/>
      <c r="B9" s="327" t="s">
        <v>120</v>
      </c>
      <c r="C9" s="415"/>
      <c r="D9" s="96" t="s">
        <v>223</v>
      </c>
      <c r="E9" s="87"/>
      <c r="F9" s="163"/>
      <c r="G9" s="89"/>
      <c r="H9" s="90"/>
      <c r="I9" s="90"/>
      <c r="J9" s="89"/>
      <c r="K9" s="91"/>
      <c r="L9" s="18"/>
    </row>
    <row r="10" spans="1:18" ht="119.25" customHeight="1" x14ac:dyDescent="0.3">
      <c r="A10" s="21"/>
      <c r="B10" s="220" t="s">
        <v>121</v>
      </c>
      <c r="C10" s="415"/>
      <c r="D10" s="391" t="s">
        <v>180</v>
      </c>
      <c r="E10" s="392"/>
      <c r="F10" s="392"/>
      <c r="G10" s="392"/>
      <c r="H10" s="392"/>
      <c r="I10" s="392"/>
      <c r="J10" s="393"/>
      <c r="K10" s="23"/>
      <c r="L10" s="18"/>
    </row>
    <row r="11" spans="1:18" ht="81" customHeight="1" x14ac:dyDescent="0.3">
      <c r="A11" s="21"/>
      <c r="B11" s="218" t="s">
        <v>17</v>
      </c>
      <c r="C11" s="415"/>
      <c r="D11" s="76" t="s">
        <v>59</v>
      </c>
      <c r="E11" s="20" t="s">
        <v>14</v>
      </c>
      <c r="F11" s="77">
        <f>F7</f>
        <v>244</v>
      </c>
      <c r="G11" s="401" t="s">
        <v>181</v>
      </c>
      <c r="H11" s="402"/>
      <c r="I11" s="402"/>
      <c r="J11" s="403"/>
      <c r="K11" s="23"/>
      <c r="L11" s="18"/>
    </row>
    <row r="12" spans="1:18" ht="75" x14ac:dyDescent="0.3">
      <c r="A12" s="21"/>
      <c r="B12" s="275" t="s">
        <v>18</v>
      </c>
      <c r="C12" s="415"/>
      <c r="D12" s="19" t="s">
        <v>19</v>
      </c>
      <c r="E12" s="26"/>
      <c r="F12" s="27"/>
      <c r="G12" s="24"/>
      <c r="H12" s="25"/>
      <c r="I12" s="25"/>
      <c r="J12" s="98">
        <f>J13+J24+J27</f>
        <v>95136417</v>
      </c>
      <c r="K12" s="23"/>
      <c r="L12" s="18"/>
    </row>
    <row r="13" spans="1:18" ht="18.75" x14ac:dyDescent="0.3">
      <c r="A13" s="21"/>
      <c r="B13" s="328"/>
      <c r="C13" s="415"/>
      <c r="D13" s="19" t="s">
        <v>20</v>
      </c>
      <c r="E13" s="26"/>
      <c r="F13" s="27"/>
      <c r="G13" s="24"/>
      <c r="H13" s="25"/>
      <c r="I13" s="25"/>
      <c r="J13" s="98">
        <f>SUM(J15:J23)</f>
        <v>90541417</v>
      </c>
      <c r="K13" s="23"/>
      <c r="L13" s="18"/>
    </row>
    <row r="14" spans="1:18" ht="266.25" customHeight="1" x14ac:dyDescent="0.3">
      <c r="A14" s="21"/>
      <c r="B14" s="167"/>
      <c r="C14" s="415"/>
      <c r="D14" s="394" t="s">
        <v>426</v>
      </c>
      <c r="E14" s="395"/>
      <c r="F14" s="395"/>
      <c r="G14" s="395"/>
      <c r="H14" s="395"/>
      <c r="I14" s="395"/>
      <c r="J14" s="396"/>
      <c r="K14" s="23"/>
      <c r="L14" s="18"/>
    </row>
    <row r="15" spans="1:18" ht="108" customHeight="1" x14ac:dyDescent="0.3">
      <c r="A15" s="21"/>
      <c r="B15" s="167"/>
      <c r="C15" s="415"/>
      <c r="D15" s="168" t="s">
        <v>123</v>
      </c>
      <c r="E15" s="26"/>
      <c r="F15" s="169"/>
      <c r="G15" s="170"/>
      <c r="H15" s="171"/>
      <c r="I15" s="172"/>
      <c r="J15" s="173"/>
      <c r="K15" s="174"/>
      <c r="L15" s="174"/>
    </row>
    <row r="16" spans="1:18" ht="68.25" customHeight="1" x14ac:dyDescent="0.3">
      <c r="A16" s="21"/>
      <c r="B16" s="325"/>
      <c r="C16" s="415"/>
      <c r="D16" s="168" t="s">
        <v>124</v>
      </c>
      <c r="E16" s="26" t="s">
        <v>21</v>
      </c>
      <c r="F16" s="169">
        <f>5*6.1</f>
        <v>30.5</v>
      </c>
      <c r="G16" s="170">
        <f>(2115140*1.1)+(2115140*8.5%)+481600</f>
        <v>2988040.9</v>
      </c>
      <c r="H16" s="171"/>
      <c r="I16" s="172">
        <v>0.7</v>
      </c>
      <c r="J16" s="173">
        <f>ROUND((F16*G16*I16),0)</f>
        <v>63794673</v>
      </c>
      <c r="K16" s="174"/>
      <c r="L16" s="174"/>
      <c r="R16" s="99" t="s">
        <v>125</v>
      </c>
    </row>
    <row r="17" spans="1:14" ht="260.25" customHeight="1" x14ac:dyDescent="0.3">
      <c r="A17" s="21"/>
      <c r="B17" s="167"/>
      <c r="C17" s="415"/>
      <c r="D17" s="105" t="s">
        <v>126</v>
      </c>
      <c r="E17" s="26"/>
      <c r="F17" s="169"/>
      <c r="G17" s="170"/>
      <c r="H17" s="171"/>
      <c r="I17" s="172"/>
      <c r="J17" s="173"/>
      <c r="K17" s="174"/>
      <c r="L17" s="174"/>
    </row>
    <row r="18" spans="1:14" ht="57" customHeight="1" x14ac:dyDescent="0.3">
      <c r="A18" s="21"/>
      <c r="B18" s="325"/>
      <c r="C18" s="415"/>
      <c r="D18" s="168" t="s">
        <v>127</v>
      </c>
      <c r="E18" s="26" t="s">
        <v>21</v>
      </c>
      <c r="F18" s="169">
        <f>5*1.9</f>
        <v>9.5</v>
      </c>
      <c r="G18" s="170">
        <f>(2115140*1.1)+(2115140*8.5%)</f>
        <v>2506440.9</v>
      </c>
      <c r="H18" s="171"/>
      <c r="I18" s="172">
        <v>0.7</v>
      </c>
      <c r="J18" s="173">
        <f>ROUND((F18*G18*I18),0)</f>
        <v>16667832</v>
      </c>
      <c r="K18" s="174"/>
      <c r="L18" s="174"/>
    </row>
    <row r="19" spans="1:14" ht="202.5" customHeight="1" x14ac:dyDescent="0.3">
      <c r="A19" s="21"/>
      <c r="B19" s="325"/>
      <c r="C19" s="415"/>
      <c r="D19" s="105" t="s">
        <v>128</v>
      </c>
      <c r="E19" s="171"/>
      <c r="F19" s="169"/>
      <c r="G19" s="169"/>
      <c r="H19" s="171"/>
      <c r="I19" s="171"/>
      <c r="J19" s="175"/>
      <c r="K19" s="174"/>
      <c r="L19" s="174"/>
      <c r="N19" s="170"/>
    </row>
    <row r="20" spans="1:14" ht="45" customHeight="1" x14ac:dyDescent="0.3">
      <c r="A20" s="21"/>
      <c r="B20" s="325"/>
      <c r="C20" s="415"/>
      <c r="D20" s="176" t="s">
        <v>129</v>
      </c>
      <c r="E20" s="26" t="s">
        <v>21</v>
      </c>
      <c r="F20" s="169">
        <f>2.7*3.5</f>
        <v>9.4500000000000011</v>
      </c>
      <c r="G20" s="170">
        <v>409513</v>
      </c>
      <c r="H20" s="171"/>
      <c r="I20" s="172">
        <v>0.7</v>
      </c>
      <c r="J20" s="173">
        <f>ROUND((F20*G20*I20),0)</f>
        <v>2708928</v>
      </c>
      <c r="K20" s="174"/>
      <c r="L20" s="174"/>
    </row>
    <row r="21" spans="1:14" ht="121.5" customHeight="1" x14ac:dyDescent="0.3">
      <c r="A21" s="21"/>
      <c r="B21" s="325"/>
      <c r="C21" s="415"/>
      <c r="D21" s="110" t="s">
        <v>130</v>
      </c>
      <c r="E21" s="177"/>
      <c r="F21" s="169"/>
      <c r="G21" s="178"/>
      <c r="H21" s="171"/>
      <c r="I21" s="172"/>
      <c r="J21" s="173"/>
      <c r="K21" s="174"/>
      <c r="L21" s="174"/>
    </row>
    <row r="22" spans="1:14" ht="18.75" x14ac:dyDescent="0.3">
      <c r="A22" s="21"/>
      <c r="B22" s="325"/>
      <c r="C22" s="415"/>
      <c r="D22" s="176" t="s">
        <v>131</v>
      </c>
      <c r="E22" s="26" t="s">
        <v>132</v>
      </c>
      <c r="F22" s="169">
        <v>13.7</v>
      </c>
      <c r="G22" s="170">
        <v>537955</v>
      </c>
      <c r="H22" s="171"/>
      <c r="I22" s="172">
        <v>1</v>
      </c>
      <c r="J22" s="173">
        <f>ROUND((F22*G22*I22),0)</f>
        <v>7369984</v>
      </c>
      <c r="K22" s="174"/>
      <c r="L22" s="174"/>
    </row>
    <row r="23" spans="1:14" ht="56.25" x14ac:dyDescent="0.3">
      <c r="A23" s="21"/>
      <c r="B23" s="325"/>
      <c r="C23" s="415"/>
      <c r="D23" s="105" t="s">
        <v>70</v>
      </c>
      <c r="E23" s="177"/>
      <c r="F23" s="169"/>
      <c r="G23" s="178"/>
      <c r="H23" s="171"/>
      <c r="I23" s="172"/>
      <c r="J23" s="173"/>
      <c r="K23" s="174"/>
      <c r="L23" s="174"/>
    </row>
    <row r="24" spans="1:14" ht="18.75" x14ac:dyDescent="0.3">
      <c r="A24" s="21"/>
      <c r="B24" s="325"/>
      <c r="C24" s="415"/>
      <c r="D24" s="179" t="s">
        <v>133</v>
      </c>
      <c r="E24" s="171"/>
      <c r="F24" s="169"/>
      <c r="G24" s="169"/>
      <c r="H24" s="171"/>
      <c r="I24" s="171"/>
      <c r="J24" s="180">
        <v>0</v>
      </c>
      <c r="K24" s="174"/>
      <c r="L24" s="174"/>
    </row>
    <row r="25" spans="1:14" ht="18.75" x14ac:dyDescent="0.3">
      <c r="A25" s="21"/>
      <c r="B25" s="329"/>
      <c r="C25" s="415"/>
      <c r="D25" s="176" t="s">
        <v>164</v>
      </c>
      <c r="E25" s="26"/>
      <c r="F25" s="419" t="s">
        <v>466</v>
      </c>
      <c r="G25" s="420"/>
      <c r="H25" s="420"/>
      <c r="I25" s="420"/>
      <c r="J25" s="421"/>
      <c r="K25" s="174"/>
      <c r="L25" s="181"/>
    </row>
    <row r="26" spans="1:14" ht="18.75" x14ac:dyDescent="0.3">
      <c r="A26" s="21"/>
      <c r="B26" s="329"/>
      <c r="C26" s="415"/>
      <c r="D26" s="176" t="s">
        <v>136</v>
      </c>
      <c r="E26" s="26"/>
      <c r="F26" s="422"/>
      <c r="G26" s="423"/>
      <c r="H26" s="423"/>
      <c r="I26" s="423"/>
      <c r="J26" s="424"/>
      <c r="K26" s="174"/>
      <c r="L26" s="181"/>
    </row>
    <row r="27" spans="1:14" ht="18.75" x14ac:dyDescent="0.3">
      <c r="A27" s="21"/>
      <c r="B27" s="325"/>
      <c r="C27" s="415"/>
      <c r="D27" s="19" t="s">
        <v>23</v>
      </c>
      <c r="E27" s="171"/>
      <c r="F27" s="169"/>
      <c r="G27" s="169"/>
      <c r="H27" s="171"/>
      <c r="I27" s="171"/>
      <c r="J27" s="98">
        <f>SUM(J29:J38)</f>
        <v>4595000</v>
      </c>
      <c r="K27" s="174"/>
      <c r="L27" s="181"/>
    </row>
    <row r="28" spans="1:14" ht="128.25" customHeight="1" x14ac:dyDescent="0.3">
      <c r="A28" s="21"/>
      <c r="B28" s="325"/>
      <c r="C28" s="415"/>
      <c r="D28" s="398" t="s">
        <v>36</v>
      </c>
      <c r="E28" s="399"/>
      <c r="F28" s="399"/>
      <c r="G28" s="399"/>
      <c r="H28" s="399"/>
      <c r="I28" s="399"/>
      <c r="J28" s="400"/>
      <c r="K28" s="23"/>
      <c r="L28" s="18"/>
    </row>
    <row r="29" spans="1:14" ht="18.75" x14ac:dyDescent="0.3">
      <c r="A29" s="21"/>
      <c r="B29" s="325"/>
      <c r="C29" s="415"/>
      <c r="D29" s="69" t="s">
        <v>138</v>
      </c>
      <c r="E29" s="20" t="s">
        <v>24</v>
      </c>
      <c r="F29" s="35">
        <v>2</v>
      </c>
      <c r="G29" s="113">
        <v>276000</v>
      </c>
      <c r="H29" s="114"/>
      <c r="I29" s="25">
        <v>1</v>
      </c>
      <c r="J29" s="24">
        <f>ROUND((F29*G29*I29),0)</f>
        <v>552000</v>
      </c>
      <c r="K29" s="67"/>
      <c r="L29" s="67"/>
    </row>
    <row r="30" spans="1:14" ht="18.75" x14ac:dyDescent="0.3">
      <c r="A30" s="21"/>
      <c r="B30" s="325"/>
      <c r="C30" s="415"/>
      <c r="D30" s="69" t="s">
        <v>139</v>
      </c>
      <c r="E30" s="20" t="s">
        <v>140</v>
      </c>
      <c r="F30" s="35">
        <v>1</v>
      </c>
      <c r="G30" s="113">
        <v>169000</v>
      </c>
      <c r="H30" s="114"/>
      <c r="I30" s="25">
        <v>1</v>
      </c>
      <c r="J30" s="24">
        <f t="shared" ref="J30:J35" si="0">ROUND((F30*G30*I30),0)</f>
        <v>169000</v>
      </c>
      <c r="K30" s="67"/>
      <c r="L30" s="67"/>
    </row>
    <row r="31" spans="1:14" ht="18.75" x14ac:dyDescent="0.3">
      <c r="A31" s="21"/>
      <c r="B31" s="325"/>
      <c r="C31" s="415"/>
      <c r="D31" s="69" t="s">
        <v>141</v>
      </c>
      <c r="E31" s="20" t="s">
        <v>24</v>
      </c>
      <c r="F31" s="35">
        <v>2</v>
      </c>
      <c r="G31" s="113">
        <v>544000</v>
      </c>
      <c r="H31" s="114"/>
      <c r="I31" s="25">
        <v>1</v>
      </c>
      <c r="J31" s="24">
        <f t="shared" si="0"/>
        <v>1088000</v>
      </c>
      <c r="K31" s="67"/>
      <c r="L31" s="67"/>
    </row>
    <row r="32" spans="1:14" ht="18.75" x14ac:dyDescent="0.3">
      <c r="A32" s="21"/>
      <c r="B32" s="325"/>
      <c r="C32" s="415"/>
      <c r="D32" s="69" t="s">
        <v>142</v>
      </c>
      <c r="E32" s="20" t="s">
        <v>24</v>
      </c>
      <c r="F32" s="35">
        <v>1</v>
      </c>
      <c r="G32" s="113">
        <v>103000</v>
      </c>
      <c r="H32" s="114"/>
      <c r="I32" s="25">
        <v>1</v>
      </c>
      <c r="J32" s="24">
        <f t="shared" si="0"/>
        <v>103000</v>
      </c>
      <c r="K32" s="67"/>
      <c r="L32" s="67"/>
    </row>
    <row r="33" spans="1:13" ht="37.5" x14ac:dyDescent="0.3">
      <c r="A33" s="21"/>
      <c r="B33" s="325"/>
      <c r="C33" s="415"/>
      <c r="D33" s="69" t="s">
        <v>143</v>
      </c>
      <c r="E33" s="20" t="s">
        <v>24</v>
      </c>
      <c r="F33" s="35">
        <v>5</v>
      </c>
      <c r="G33" s="113">
        <v>53000</v>
      </c>
      <c r="H33" s="114"/>
      <c r="I33" s="25">
        <v>1</v>
      </c>
      <c r="J33" s="24">
        <f t="shared" si="0"/>
        <v>265000</v>
      </c>
      <c r="K33" s="67"/>
      <c r="L33" s="67"/>
    </row>
    <row r="34" spans="1:13" ht="37.5" x14ac:dyDescent="0.3">
      <c r="A34" s="21"/>
      <c r="B34" s="325"/>
      <c r="C34" s="415"/>
      <c r="D34" s="69" t="s">
        <v>144</v>
      </c>
      <c r="E34" s="20" t="s">
        <v>24</v>
      </c>
      <c r="F34" s="35">
        <v>1</v>
      </c>
      <c r="G34" s="113">
        <v>114000</v>
      </c>
      <c r="H34" s="114"/>
      <c r="I34" s="25">
        <v>1</v>
      </c>
      <c r="J34" s="24">
        <f t="shared" si="0"/>
        <v>114000</v>
      </c>
      <c r="K34" s="67"/>
      <c r="L34" s="67"/>
      <c r="M34" s="182"/>
    </row>
    <row r="35" spans="1:13" ht="37.5" x14ac:dyDescent="0.3">
      <c r="A35" s="21"/>
      <c r="B35" s="325"/>
      <c r="C35" s="415"/>
      <c r="D35" s="69" t="s">
        <v>145</v>
      </c>
      <c r="E35" s="20" t="s">
        <v>24</v>
      </c>
      <c r="F35" s="35">
        <v>8</v>
      </c>
      <c r="G35" s="113">
        <v>228000</v>
      </c>
      <c r="H35" s="114"/>
      <c r="I35" s="25">
        <v>1</v>
      </c>
      <c r="J35" s="24">
        <f t="shared" si="0"/>
        <v>1824000</v>
      </c>
      <c r="K35" s="67"/>
      <c r="L35" s="67"/>
    </row>
    <row r="36" spans="1:13" ht="18.75" x14ac:dyDescent="0.3">
      <c r="A36" s="21"/>
      <c r="B36" s="325"/>
      <c r="C36" s="415"/>
      <c r="D36" s="69" t="s">
        <v>146</v>
      </c>
      <c r="E36" s="20" t="s">
        <v>24</v>
      </c>
      <c r="F36" s="115">
        <v>1</v>
      </c>
      <c r="G36" s="183">
        <v>84000</v>
      </c>
      <c r="H36" s="183"/>
      <c r="I36" s="184">
        <v>1</v>
      </c>
      <c r="J36" s="183">
        <f>F36*G36*I36</f>
        <v>84000</v>
      </c>
      <c r="K36" s="185"/>
      <c r="L36" s="67"/>
    </row>
    <row r="37" spans="1:13" ht="37.5" x14ac:dyDescent="0.3">
      <c r="A37" s="21"/>
      <c r="B37" s="325"/>
      <c r="C37" s="415"/>
      <c r="D37" s="69" t="s">
        <v>147</v>
      </c>
      <c r="E37" s="20" t="s">
        <v>24</v>
      </c>
      <c r="F37" s="35">
        <v>1</v>
      </c>
      <c r="G37" s="113">
        <v>228000</v>
      </c>
      <c r="H37" s="114"/>
      <c r="I37" s="25">
        <v>1</v>
      </c>
      <c r="J37" s="24">
        <f t="shared" ref="J37" si="1">ROUND((F37*G37*I37),0)</f>
        <v>228000</v>
      </c>
      <c r="K37" s="67"/>
      <c r="L37" s="67"/>
    </row>
    <row r="38" spans="1:13" ht="37.5" x14ac:dyDescent="0.3">
      <c r="A38" s="21"/>
      <c r="B38" s="325"/>
      <c r="C38" s="415"/>
      <c r="D38" s="69" t="s">
        <v>148</v>
      </c>
      <c r="E38" s="20" t="s">
        <v>24</v>
      </c>
      <c r="F38" s="35">
        <v>1</v>
      </c>
      <c r="G38" s="183">
        <v>168000</v>
      </c>
      <c r="H38" s="183"/>
      <c r="I38" s="184">
        <v>1</v>
      </c>
      <c r="J38" s="183">
        <f>F38*G38*I38</f>
        <v>168000</v>
      </c>
      <c r="K38" s="67"/>
      <c r="L38" s="67"/>
    </row>
    <row r="39" spans="1:13" ht="18.75" x14ac:dyDescent="0.3">
      <c r="A39" s="21"/>
      <c r="B39" s="276"/>
      <c r="C39" s="415"/>
      <c r="D39" s="19" t="s">
        <v>25</v>
      </c>
      <c r="E39" s="26"/>
      <c r="F39" s="27"/>
      <c r="G39" s="186"/>
      <c r="H39" s="187"/>
      <c r="I39" s="187"/>
      <c r="J39" s="29">
        <v>0</v>
      </c>
      <c r="K39" s="23"/>
      <c r="L39" s="18"/>
    </row>
    <row r="40" spans="1:13" ht="18.75" x14ac:dyDescent="0.3">
      <c r="A40" s="21"/>
      <c r="B40" s="276"/>
      <c r="C40" s="415"/>
      <c r="D40" s="30" t="s">
        <v>149</v>
      </c>
      <c r="E40" s="31"/>
      <c r="F40" s="32"/>
      <c r="G40" s="188"/>
      <c r="H40" s="189"/>
      <c r="I40" s="189"/>
      <c r="J40" s="33">
        <f>SUM(J41:J42)</f>
        <v>0</v>
      </c>
      <c r="K40" s="23"/>
      <c r="L40" s="18"/>
    </row>
    <row r="41" spans="1:13" ht="126" customHeight="1" x14ac:dyDescent="0.3">
      <c r="A41" s="21"/>
      <c r="B41" s="276"/>
      <c r="C41" s="415"/>
      <c r="D41" s="68" t="s">
        <v>427</v>
      </c>
      <c r="E41" s="31"/>
      <c r="F41" s="404" t="s">
        <v>319</v>
      </c>
      <c r="G41" s="404"/>
      <c r="H41" s="404"/>
      <c r="I41" s="404"/>
      <c r="J41" s="404"/>
      <c r="K41" s="23"/>
      <c r="L41" s="18"/>
    </row>
    <row r="42" spans="1:13" ht="126" customHeight="1" x14ac:dyDescent="0.3">
      <c r="A42" s="21"/>
      <c r="B42" s="276"/>
      <c r="C42" s="415"/>
      <c r="D42" s="34" t="s">
        <v>428</v>
      </c>
      <c r="E42" s="31"/>
      <c r="F42" s="405" t="s">
        <v>320</v>
      </c>
      <c r="G42" s="405"/>
      <c r="H42" s="405"/>
      <c r="I42" s="405"/>
      <c r="J42" s="405"/>
      <c r="K42" s="23"/>
      <c r="L42" s="18"/>
    </row>
    <row r="43" spans="1:13" ht="18.75" x14ac:dyDescent="0.3">
      <c r="A43" s="18"/>
      <c r="B43" s="214"/>
      <c r="C43" s="415"/>
      <c r="D43" s="39" t="s">
        <v>26</v>
      </c>
      <c r="E43" s="40"/>
      <c r="F43" s="41"/>
      <c r="G43" s="42"/>
      <c r="H43" s="43"/>
      <c r="I43" s="43"/>
      <c r="J43" s="44">
        <f>J5+J12+J40+J39</f>
        <v>95136417</v>
      </c>
      <c r="K43" s="23"/>
      <c r="L43" s="18"/>
    </row>
    <row r="44" spans="1:13" ht="18.75" x14ac:dyDescent="0.3">
      <c r="A44" s="18"/>
      <c r="B44" s="214"/>
      <c r="C44" s="415"/>
      <c r="D44" s="19" t="s">
        <v>27</v>
      </c>
      <c r="E44" s="31"/>
      <c r="F44" s="45"/>
      <c r="G44" s="37"/>
      <c r="H44" s="37"/>
      <c r="I44" s="37"/>
      <c r="J44" s="33">
        <f>J46</f>
        <v>8000000</v>
      </c>
      <c r="K44" s="23"/>
      <c r="L44" s="18"/>
    </row>
    <row r="45" spans="1:13" ht="37.5" x14ac:dyDescent="0.3">
      <c r="A45" s="18"/>
      <c r="B45" s="214"/>
      <c r="C45" s="415"/>
      <c r="D45" s="46" t="s">
        <v>28</v>
      </c>
      <c r="E45" s="31"/>
      <c r="F45" s="45"/>
      <c r="G45" s="37"/>
      <c r="H45" s="37"/>
      <c r="I45" s="37"/>
      <c r="J45" s="33"/>
      <c r="K45" s="23"/>
      <c r="L45" s="18"/>
    </row>
    <row r="46" spans="1:13" ht="150" x14ac:dyDescent="0.3">
      <c r="A46" s="18"/>
      <c r="B46" s="214"/>
      <c r="C46" s="415"/>
      <c r="D46" s="47" t="s">
        <v>29</v>
      </c>
      <c r="E46" s="40" t="s">
        <v>30</v>
      </c>
      <c r="F46" s="42">
        <v>1</v>
      </c>
      <c r="G46" s="28">
        <f>IF(J43*10%&gt;=8000000,8000000,IF(J43*10%&lt;=1000000,1000000,J43*10%))</f>
        <v>8000000</v>
      </c>
      <c r="H46" s="43"/>
      <c r="I46" s="43"/>
      <c r="J46" s="42">
        <f>F46*G46</f>
        <v>8000000</v>
      </c>
      <c r="K46" s="23"/>
      <c r="L46" s="18"/>
    </row>
    <row r="47" spans="1:13" ht="37.5" x14ac:dyDescent="0.3">
      <c r="A47" s="409"/>
      <c r="B47" s="411"/>
      <c r="C47" s="415"/>
      <c r="D47" s="39" t="s">
        <v>31</v>
      </c>
      <c r="E47" s="40"/>
      <c r="F47" s="42"/>
      <c r="G47" s="28"/>
      <c r="H47" s="43"/>
      <c r="I47" s="43"/>
      <c r="J47" s="42"/>
      <c r="K47" s="49">
        <f>J43+J44</f>
        <v>103136417</v>
      </c>
      <c r="L47" s="18"/>
    </row>
    <row r="48" spans="1:13" ht="18.75" x14ac:dyDescent="0.3">
      <c r="A48" s="409"/>
      <c r="B48" s="411"/>
      <c r="C48" s="415"/>
      <c r="D48" s="190" t="s">
        <v>32</v>
      </c>
      <c r="E48" s="50"/>
      <c r="F48" s="51"/>
      <c r="G48" s="52"/>
      <c r="H48" s="52"/>
      <c r="I48" s="52"/>
      <c r="J48" s="52"/>
      <c r="K48" s="52"/>
      <c r="L48" s="18"/>
    </row>
    <row r="49" spans="1:12" ht="75" x14ac:dyDescent="0.3">
      <c r="A49" s="410"/>
      <c r="B49" s="412"/>
      <c r="C49" s="416"/>
      <c r="D49" s="54" t="s">
        <v>33</v>
      </c>
      <c r="E49" s="55"/>
      <c r="F49" s="413" t="s">
        <v>34</v>
      </c>
      <c r="G49" s="413"/>
      <c r="H49" s="413"/>
      <c r="I49" s="413"/>
      <c r="J49" s="413"/>
      <c r="K49" s="56"/>
      <c r="L49" s="53"/>
    </row>
    <row r="50" spans="1:12" ht="18.75" x14ac:dyDescent="0.25">
      <c r="C50" s="191"/>
    </row>
    <row r="51" spans="1:12" ht="18.75" x14ac:dyDescent="0.25">
      <c r="C51" s="191"/>
    </row>
    <row r="52" spans="1:12" ht="18.75" x14ac:dyDescent="0.25">
      <c r="C52" s="191"/>
    </row>
    <row r="53" spans="1:12" ht="18.75" x14ac:dyDescent="0.25">
      <c r="C53" s="191"/>
      <c r="D53" s="330"/>
    </row>
    <row r="54" spans="1:12" ht="18.75" x14ac:dyDescent="0.25">
      <c r="C54" s="191"/>
      <c r="D54" s="330"/>
    </row>
    <row r="55" spans="1:12" ht="18.75" x14ac:dyDescent="0.25">
      <c r="C55" s="191"/>
      <c r="D55" s="330"/>
    </row>
    <row r="56" spans="1:12" ht="18.75" x14ac:dyDescent="0.25">
      <c r="C56" s="191"/>
    </row>
    <row r="57" spans="1:12" ht="18.75" x14ac:dyDescent="0.25">
      <c r="C57" s="191"/>
    </row>
    <row r="58" spans="1:12" ht="18.75" x14ac:dyDescent="0.25">
      <c r="C58" s="191"/>
    </row>
    <row r="59" spans="1:12" ht="18.75" x14ac:dyDescent="0.25">
      <c r="C59" s="191"/>
    </row>
    <row r="60" spans="1:12" ht="18.75" x14ac:dyDescent="0.25">
      <c r="C60" s="191"/>
    </row>
    <row r="61" spans="1:12" ht="18.75" x14ac:dyDescent="0.25">
      <c r="C61" s="191"/>
    </row>
    <row r="62" spans="1:12" ht="18.75" x14ac:dyDescent="0.25">
      <c r="C62" s="191"/>
    </row>
    <row r="63" spans="1:12" ht="18.75" x14ac:dyDescent="0.25">
      <c r="C63" s="191"/>
    </row>
    <row r="64" spans="1:12" ht="18.75" x14ac:dyDescent="0.25">
      <c r="C64" s="191"/>
    </row>
    <row r="65" spans="3:3" ht="18.75" x14ac:dyDescent="0.25">
      <c r="C65" s="191"/>
    </row>
    <row r="66" spans="3:3" ht="18.75" x14ac:dyDescent="0.25">
      <c r="C66" s="191"/>
    </row>
    <row r="67" spans="3:3" ht="18.75" x14ac:dyDescent="0.25">
      <c r="C67" s="191"/>
    </row>
    <row r="68" spans="3:3" ht="18.75" x14ac:dyDescent="0.25">
      <c r="C68" s="191"/>
    </row>
    <row r="69" spans="3:3" ht="18.75" x14ac:dyDescent="0.25">
      <c r="C69" s="191"/>
    </row>
  </sheetData>
  <mergeCells count="12">
    <mergeCell ref="A47:A49"/>
    <mergeCell ref="B47:B49"/>
    <mergeCell ref="F49:J49"/>
    <mergeCell ref="C4:C49"/>
    <mergeCell ref="B5:B8"/>
    <mergeCell ref="D10:J10"/>
    <mergeCell ref="G11:J11"/>
    <mergeCell ref="D14:J14"/>
    <mergeCell ref="D28:J28"/>
    <mergeCell ref="F41:J41"/>
    <mergeCell ref="F42:J42"/>
    <mergeCell ref="F25:J26"/>
  </mergeCells>
  <pageMargins left="0.7" right="0.7" top="0.75" bottom="0.75" header="0.3" footer="0.3"/>
  <pageSetup paperSize="9" scale="54" fitToHeight="0" orientation="landscape" r:id="rId1"/>
  <headerFooter>
    <oddFooter>&amp;C&amp;A/&amp;P-&amp;N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3"/>
  <sheetViews>
    <sheetView topLeftCell="A22" zoomScale="70" zoomScaleNormal="70" workbookViewId="0">
      <selection activeCell="D30" sqref="D30"/>
    </sheetView>
  </sheetViews>
  <sheetFormatPr defaultRowHeight="15" x14ac:dyDescent="0.25"/>
  <cols>
    <col min="1" max="1" width="4.85546875" customWidth="1"/>
    <col min="2" max="2" width="27.85546875" customWidth="1"/>
    <col min="3" max="3" width="55.7109375" customWidth="1"/>
    <col min="4" max="4" width="67" customWidth="1"/>
    <col min="5" max="5" width="7.7109375" customWidth="1"/>
    <col min="6" max="6" width="9.42578125" customWidth="1"/>
    <col min="7" max="7" width="12.85546875" customWidth="1"/>
    <col min="8" max="9" width="7.42578125" customWidth="1"/>
    <col min="10" max="10" width="16" customWidth="1"/>
    <col min="11" max="11" width="15.5703125" customWidth="1"/>
    <col min="12" max="12" width="7.140625" customWidth="1"/>
  </cols>
  <sheetData>
    <row r="1" spans="1:12" ht="18.75" x14ac:dyDescent="0.3">
      <c r="A1" s="1" t="s">
        <v>0</v>
      </c>
      <c r="B1" s="2"/>
      <c r="C1" s="3"/>
      <c r="D1" s="3"/>
      <c r="E1" s="3"/>
      <c r="F1" s="3"/>
      <c r="G1" s="3"/>
      <c r="H1" s="3"/>
      <c r="I1" s="3"/>
      <c r="J1" s="3"/>
      <c r="K1" s="2"/>
      <c r="L1" s="2"/>
    </row>
    <row r="2" spans="1:12" ht="75" x14ac:dyDescent="0.25">
      <c r="A2" s="4" t="s">
        <v>1</v>
      </c>
      <c r="B2" s="5" t="s">
        <v>2</v>
      </c>
      <c r="C2" s="6" t="s">
        <v>3</v>
      </c>
      <c r="D2" s="6" t="s">
        <v>4</v>
      </c>
      <c r="E2" s="6" t="s">
        <v>5</v>
      </c>
      <c r="F2" s="7" t="s">
        <v>6</v>
      </c>
      <c r="G2" s="8" t="s">
        <v>7</v>
      </c>
      <c r="H2" s="9" t="s">
        <v>8</v>
      </c>
      <c r="I2" s="9" t="s">
        <v>9</v>
      </c>
      <c r="J2" s="8" t="s">
        <v>10</v>
      </c>
      <c r="K2" s="10" t="s">
        <v>11</v>
      </c>
      <c r="L2" s="10" t="s">
        <v>12</v>
      </c>
    </row>
    <row r="3" spans="1:12" ht="18.75" x14ac:dyDescent="0.25">
      <c r="A3" s="11">
        <v>1</v>
      </c>
      <c r="B3" s="12">
        <v>2</v>
      </c>
      <c r="C3" s="13">
        <v>3</v>
      </c>
      <c r="D3" s="14">
        <v>4</v>
      </c>
      <c r="E3" s="13">
        <v>5</v>
      </c>
      <c r="F3" s="13">
        <v>6</v>
      </c>
      <c r="G3" s="13">
        <v>7</v>
      </c>
      <c r="H3" s="13">
        <v>8</v>
      </c>
      <c r="I3" s="13">
        <v>9</v>
      </c>
      <c r="J3" s="12">
        <v>10</v>
      </c>
      <c r="K3" s="14">
        <v>11</v>
      </c>
      <c r="L3" s="14">
        <v>12</v>
      </c>
    </row>
    <row r="4" spans="1:12" ht="18.75" x14ac:dyDescent="0.3">
      <c r="A4" s="15">
        <v>4</v>
      </c>
      <c r="B4" s="16" t="s">
        <v>151</v>
      </c>
      <c r="C4" s="414" t="s">
        <v>441</v>
      </c>
      <c r="D4" s="78"/>
      <c r="E4" s="79"/>
      <c r="F4" s="79"/>
      <c r="G4" s="79"/>
      <c r="H4" s="79"/>
      <c r="I4" s="79"/>
      <c r="J4" s="80"/>
      <c r="K4" s="81"/>
      <c r="L4" s="17"/>
    </row>
    <row r="5" spans="1:12" ht="18.75" x14ac:dyDescent="0.3">
      <c r="A5" s="18"/>
      <c r="B5" s="390" t="s">
        <v>152</v>
      </c>
      <c r="C5" s="415"/>
      <c r="D5" s="82" t="s">
        <v>13</v>
      </c>
      <c r="E5" s="83"/>
      <c r="F5" s="84"/>
      <c r="G5" s="83"/>
      <c r="H5" s="83"/>
      <c r="I5" s="83"/>
      <c r="J5" s="85">
        <v>0</v>
      </c>
      <c r="K5" s="86"/>
      <c r="L5" s="18"/>
    </row>
    <row r="6" spans="1:12" ht="18.75" x14ac:dyDescent="0.3">
      <c r="A6" s="18"/>
      <c r="B6" s="390"/>
      <c r="C6" s="415"/>
      <c r="D6" s="19" t="s">
        <v>153</v>
      </c>
      <c r="E6" s="87" t="s">
        <v>14</v>
      </c>
      <c r="F6" s="88">
        <v>174</v>
      </c>
      <c r="G6" s="89"/>
      <c r="H6" s="90"/>
      <c r="I6" s="90"/>
      <c r="J6" s="89"/>
      <c r="K6" s="91"/>
      <c r="L6" s="18"/>
    </row>
    <row r="7" spans="1:12" ht="18.75" x14ac:dyDescent="0.3">
      <c r="A7" s="18"/>
      <c r="B7" s="390"/>
      <c r="C7" s="415"/>
      <c r="D7" s="95" t="s">
        <v>154</v>
      </c>
      <c r="E7" s="20" t="s">
        <v>14</v>
      </c>
      <c r="F7" s="93">
        <f>F6</f>
        <v>174</v>
      </c>
      <c r="G7" s="94"/>
      <c r="H7" s="90"/>
      <c r="I7" s="90"/>
      <c r="J7" s="89"/>
      <c r="K7" s="91"/>
      <c r="L7" s="18"/>
    </row>
    <row r="8" spans="1:12" ht="18.75" x14ac:dyDescent="0.3">
      <c r="A8" s="21"/>
      <c r="B8" s="390"/>
      <c r="C8" s="415"/>
      <c r="D8" s="95" t="s">
        <v>15</v>
      </c>
      <c r="E8" s="20" t="s">
        <v>14</v>
      </c>
      <c r="F8" s="93">
        <v>0</v>
      </c>
      <c r="G8" s="89"/>
      <c r="H8" s="90"/>
      <c r="I8" s="90"/>
      <c r="J8" s="94"/>
      <c r="K8" s="91"/>
      <c r="L8" s="18"/>
    </row>
    <row r="9" spans="1:12" ht="18.75" x14ac:dyDescent="0.3">
      <c r="A9" s="21"/>
      <c r="B9" s="193"/>
      <c r="C9" s="415"/>
      <c r="D9" s="96" t="s">
        <v>223</v>
      </c>
      <c r="E9" s="87"/>
      <c r="F9" s="97"/>
      <c r="G9" s="89"/>
      <c r="H9" s="90"/>
      <c r="I9" s="90"/>
      <c r="J9" s="89"/>
      <c r="K9" s="91"/>
      <c r="L9" s="18"/>
    </row>
    <row r="10" spans="1:12" ht="115.5" customHeight="1" x14ac:dyDescent="0.3">
      <c r="A10" s="21"/>
      <c r="B10" s="99"/>
      <c r="C10" s="415"/>
      <c r="D10" s="391" t="s">
        <v>180</v>
      </c>
      <c r="E10" s="392"/>
      <c r="F10" s="392"/>
      <c r="G10" s="392"/>
      <c r="H10" s="392"/>
      <c r="I10" s="392"/>
      <c r="J10" s="393"/>
      <c r="K10" s="23"/>
      <c r="L10" s="18"/>
    </row>
    <row r="11" spans="1:12" ht="101.25" customHeight="1" x14ac:dyDescent="0.3">
      <c r="A11" s="21"/>
      <c r="B11" s="22"/>
      <c r="C11" s="415"/>
      <c r="D11" s="76" t="s">
        <v>59</v>
      </c>
      <c r="E11" s="20" t="s">
        <v>14</v>
      </c>
      <c r="F11" s="77">
        <f>F7</f>
        <v>174</v>
      </c>
      <c r="G11" s="401" t="s">
        <v>181</v>
      </c>
      <c r="H11" s="402"/>
      <c r="I11" s="402"/>
      <c r="J11" s="403"/>
      <c r="K11" s="23"/>
      <c r="L11" s="18"/>
    </row>
    <row r="12" spans="1:12" ht="18.75" x14ac:dyDescent="0.3">
      <c r="A12" s="21"/>
      <c r="B12" s="192"/>
      <c r="C12" s="415"/>
      <c r="D12" s="19" t="s">
        <v>19</v>
      </c>
      <c r="E12" s="26"/>
      <c r="F12" s="27"/>
      <c r="G12" s="24"/>
      <c r="H12" s="25"/>
      <c r="I12" s="25"/>
      <c r="J12" s="98">
        <f>J13+J25+J28</f>
        <v>80132179</v>
      </c>
      <c r="K12" s="23"/>
      <c r="L12" s="18"/>
    </row>
    <row r="13" spans="1:12" ht="18.75" x14ac:dyDescent="0.3">
      <c r="A13" s="21"/>
      <c r="B13" s="66" t="s">
        <v>17</v>
      </c>
      <c r="C13" s="415"/>
      <c r="D13" s="19" t="s">
        <v>20</v>
      </c>
      <c r="E13" s="26"/>
      <c r="F13" s="27"/>
      <c r="G13" s="24"/>
      <c r="H13" s="25"/>
      <c r="I13" s="25"/>
      <c r="J13" s="98">
        <f>SUM(J15:J24)</f>
        <v>79950179</v>
      </c>
      <c r="K13" s="23"/>
      <c r="L13" s="18"/>
    </row>
    <row r="14" spans="1:12" ht="215.25" customHeight="1" x14ac:dyDescent="0.3">
      <c r="A14" s="21"/>
      <c r="B14" s="22" t="s">
        <v>18</v>
      </c>
      <c r="C14" s="415"/>
      <c r="D14" s="394" t="s">
        <v>155</v>
      </c>
      <c r="E14" s="395"/>
      <c r="F14" s="395"/>
      <c r="G14" s="395"/>
      <c r="H14" s="395"/>
      <c r="I14" s="395"/>
      <c r="J14" s="396"/>
      <c r="K14" s="23"/>
      <c r="L14" s="18"/>
    </row>
    <row r="15" spans="1:12" ht="56.25" x14ac:dyDescent="0.3">
      <c r="A15" s="21"/>
      <c r="B15" s="192"/>
      <c r="C15" s="415"/>
      <c r="D15" s="100" t="s">
        <v>432</v>
      </c>
      <c r="E15" s="26" t="s">
        <v>21</v>
      </c>
      <c r="F15" s="101">
        <f xml:space="preserve"> 5.5*4.1</f>
        <v>22.549999999999997</v>
      </c>
      <c r="G15" s="102">
        <f>(2115140+(2115140*8.5%))</f>
        <v>2294926.9</v>
      </c>
      <c r="H15" s="103"/>
      <c r="I15" s="104">
        <v>0.8</v>
      </c>
      <c r="J15" s="24">
        <f>ROUND((F15*G15*I15),0)</f>
        <v>41400481</v>
      </c>
      <c r="K15" s="23"/>
      <c r="L15" s="23"/>
    </row>
    <row r="16" spans="1:12" ht="131.25" x14ac:dyDescent="0.3">
      <c r="A16" s="21"/>
      <c r="B16" s="192"/>
      <c r="C16" s="415"/>
      <c r="D16" s="105" t="s">
        <v>156</v>
      </c>
      <c r="E16" s="103"/>
      <c r="F16" s="101"/>
      <c r="G16" s="106"/>
      <c r="H16" s="103"/>
      <c r="I16" s="103"/>
      <c r="J16" s="107"/>
      <c r="K16" s="23"/>
      <c r="L16" s="23"/>
    </row>
    <row r="17" spans="1:12" ht="56.25" x14ac:dyDescent="0.3">
      <c r="A17" s="21"/>
      <c r="B17" s="192"/>
      <c r="C17" s="415"/>
      <c r="D17" s="108" t="s">
        <v>157</v>
      </c>
      <c r="E17" s="26" t="s">
        <v>21</v>
      </c>
      <c r="F17" s="101">
        <f xml:space="preserve"> 1.7*2.8</f>
        <v>4.76</v>
      </c>
      <c r="G17" s="102">
        <v>6960234</v>
      </c>
      <c r="H17" s="103"/>
      <c r="I17" s="104">
        <v>0.7</v>
      </c>
      <c r="J17" s="24">
        <f>ROUND((F17*G17*I17),0)</f>
        <v>23191500</v>
      </c>
      <c r="K17" s="23"/>
      <c r="L17" s="23"/>
    </row>
    <row r="18" spans="1:12" ht="56.25" x14ac:dyDescent="0.3">
      <c r="A18" s="21"/>
      <c r="B18" s="192"/>
      <c r="C18" s="415"/>
      <c r="D18" s="105" t="s">
        <v>158</v>
      </c>
      <c r="E18" s="103"/>
      <c r="F18" s="106"/>
      <c r="G18" s="106"/>
      <c r="H18" s="103"/>
      <c r="I18" s="103"/>
      <c r="J18" s="107"/>
      <c r="K18" s="23"/>
      <c r="L18" s="23"/>
    </row>
    <row r="19" spans="1:12" ht="37.5" x14ac:dyDescent="0.3">
      <c r="A19" s="21"/>
      <c r="B19" s="192"/>
      <c r="C19" s="415"/>
      <c r="D19" s="331" t="s">
        <v>431</v>
      </c>
      <c r="E19" s="26" t="s">
        <v>21</v>
      </c>
      <c r="F19" s="109">
        <f>4.1*1.9</f>
        <v>7.7899999999999991</v>
      </c>
      <c r="G19" s="102">
        <f>741439-(741439*8.5%)</f>
        <v>678416.68500000006</v>
      </c>
      <c r="H19" s="103"/>
      <c r="I19" s="104">
        <v>0.7</v>
      </c>
      <c r="J19" s="24">
        <f>ROUND((F19*G19*I19),0)</f>
        <v>3699406</v>
      </c>
      <c r="K19" s="23"/>
      <c r="L19" s="23"/>
    </row>
    <row r="20" spans="1:12" ht="131.25" x14ac:dyDescent="0.3">
      <c r="A20" s="21"/>
      <c r="B20" s="192"/>
      <c r="C20" s="415"/>
      <c r="D20" s="110" t="s">
        <v>437</v>
      </c>
      <c r="E20" s="103"/>
      <c r="F20" s="106"/>
      <c r="G20" s="106"/>
      <c r="H20" s="103"/>
      <c r="I20" s="103"/>
      <c r="J20" s="107"/>
      <c r="K20" s="23"/>
      <c r="L20" s="23"/>
    </row>
    <row r="21" spans="1:12" ht="56.25" x14ac:dyDescent="0.3">
      <c r="A21" s="21"/>
      <c r="B21" s="192"/>
      <c r="C21" s="415"/>
      <c r="D21" s="92" t="s">
        <v>159</v>
      </c>
      <c r="E21" s="26" t="s">
        <v>21</v>
      </c>
      <c r="F21" s="111">
        <f>6*2.5</f>
        <v>15</v>
      </c>
      <c r="G21" s="102">
        <f>409513+(409513*8.5%)</f>
        <v>444321.60499999998</v>
      </c>
      <c r="H21" s="103"/>
      <c r="I21" s="104">
        <v>0.7</v>
      </c>
      <c r="J21" s="24">
        <f>ROUND((F21*G21*I21),0)</f>
        <v>4665377</v>
      </c>
      <c r="K21" s="23"/>
      <c r="L21" s="23"/>
    </row>
    <row r="22" spans="1:12" ht="131.25" x14ac:dyDescent="0.3">
      <c r="A22" s="21"/>
      <c r="B22" s="21"/>
      <c r="C22" s="415"/>
      <c r="D22" s="110" t="s">
        <v>160</v>
      </c>
      <c r="E22" s="26"/>
      <c r="F22" s="106"/>
      <c r="G22" s="106"/>
      <c r="H22" s="103"/>
      <c r="I22" s="103"/>
      <c r="J22" s="107"/>
      <c r="K22" s="23"/>
      <c r="L22" s="23"/>
    </row>
    <row r="23" spans="1:12" ht="18.75" x14ac:dyDescent="0.3">
      <c r="A23" s="21" t="s">
        <v>35</v>
      </c>
      <c r="B23" s="21"/>
      <c r="C23" s="415"/>
      <c r="D23" s="108" t="s">
        <v>161</v>
      </c>
      <c r="E23" s="26" t="s">
        <v>38</v>
      </c>
      <c r="F23" s="194">
        <v>13</v>
      </c>
      <c r="G23" s="102">
        <v>537955</v>
      </c>
      <c r="H23" s="103"/>
      <c r="I23" s="104">
        <v>1</v>
      </c>
      <c r="J23" s="24">
        <f>ROUND((F23*G23*I23),0)</f>
        <v>6993415</v>
      </c>
      <c r="K23" s="23"/>
      <c r="L23" s="67"/>
    </row>
    <row r="24" spans="1:12" ht="56.25" x14ac:dyDescent="0.3">
      <c r="A24" s="21"/>
      <c r="B24" s="21"/>
      <c r="C24" s="415"/>
      <c r="D24" s="110" t="s">
        <v>162</v>
      </c>
      <c r="E24" s="26"/>
      <c r="F24" s="109"/>
      <c r="G24" s="102"/>
      <c r="H24" s="103"/>
      <c r="I24" s="104"/>
      <c r="J24" s="24"/>
      <c r="K24" s="23"/>
      <c r="L24" s="67"/>
    </row>
    <row r="25" spans="1:12" ht="18.75" x14ac:dyDescent="0.3">
      <c r="A25" s="18"/>
      <c r="B25" s="36"/>
      <c r="C25" s="415"/>
      <c r="D25" s="19" t="s">
        <v>163</v>
      </c>
      <c r="E25" s="26"/>
      <c r="F25" s="27"/>
      <c r="G25" s="24"/>
      <c r="H25" s="25"/>
      <c r="I25" s="25"/>
      <c r="J25" s="98">
        <f xml:space="preserve"> SUM(G26+G27)</f>
        <v>0</v>
      </c>
      <c r="K25" s="23"/>
      <c r="L25" s="18"/>
    </row>
    <row r="26" spans="1:12" ht="19.5" customHeight="1" x14ac:dyDescent="0.3">
      <c r="A26" s="18"/>
      <c r="B26" s="36"/>
      <c r="C26" s="415"/>
      <c r="D26" s="176" t="s">
        <v>164</v>
      </c>
      <c r="E26" s="26"/>
      <c r="F26" s="419" t="s">
        <v>466</v>
      </c>
      <c r="G26" s="420"/>
      <c r="H26" s="420"/>
      <c r="I26" s="420"/>
      <c r="J26" s="421"/>
      <c r="K26" s="23"/>
      <c r="L26" s="18"/>
    </row>
    <row r="27" spans="1:12" ht="18.75" x14ac:dyDescent="0.3">
      <c r="A27" s="18"/>
      <c r="B27" s="36"/>
      <c r="C27" s="415"/>
      <c r="D27" s="176" t="s">
        <v>136</v>
      </c>
      <c r="E27" s="26"/>
      <c r="F27" s="422"/>
      <c r="G27" s="423"/>
      <c r="H27" s="423"/>
      <c r="I27" s="423"/>
      <c r="J27" s="424"/>
      <c r="K27" s="23"/>
      <c r="L27" s="18"/>
    </row>
    <row r="28" spans="1:12" ht="18.75" x14ac:dyDescent="0.3">
      <c r="A28" s="18"/>
      <c r="B28" s="36"/>
      <c r="C28" s="415"/>
      <c r="D28" s="19" t="s">
        <v>23</v>
      </c>
      <c r="E28" s="26"/>
      <c r="F28" s="27"/>
      <c r="G28" s="28"/>
      <c r="H28" s="25"/>
      <c r="I28" s="25"/>
      <c r="J28" s="98">
        <f xml:space="preserve"> SUM(J30:J30)</f>
        <v>182000</v>
      </c>
      <c r="K28" s="23"/>
      <c r="L28" s="18"/>
    </row>
    <row r="29" spans="1:12" ht="115.5" customHeight="1" x14ac:dyDescent="0.3">
      <c r="A29" s="18"/>
      <c r="B29" s="36"/>
      <c r="C29" s="415"/>
      <c r="D29" s="398" t="s">
        <v>36</v>
      </c>
      <c r="E29" s="399"/>
      <c r="F29" s="399"/>
      <c r="G29" s="399"/>
      <c r="H29" s="399"/>
      <c r="I29" s="399"/>
      <c r="J29" s="400"/>
      <c r="K29" s="23"/>
      <c r="L29" s="18"/>
    </row>
    <row r="30" spans="1:12" ht="19.5" customHeight="1" x14ac:dyDescent="0.3">
      <c r="A30" s="18"/>
      <c r="B30" s="36"/>
      <c r="C30" s="415"/>
      <c r="D30" s="57" t="s">
        <v>165</v>
      </c>
      <c r="E30" s="20" t="s">
        <v>24</v>
      </c>
      <c r="F30" s="35">
        <v>2</v>
      </c>
      <c r="G30" s="195">
        <v>91000</v>
      </c>
      <c r="H30" s="25"/>
      <c r="I30" s="196">
        <v>1</v>
      </c>
      <c r="J30" s="24">
        <f t="shared" ref="J30" si="0">ROUND((F30*G30*I30),0)</f>
        <v>182000</v>
      </c>
      <c r="K30" s="23"/>
      <c r="L30" s="18"/>
    </row>
    <row r="31" spans="1:12" ht="18.75" customHeight="1" x14ac:dyDescent="0.3">
      <c r="A31" s="18"/>
      <c r="B31" s="36"/>
      <c r="C31" s="415"/>
      <c r="D31" s="19" t="s">
        <v>25</v>
      </c>
      <c r="E31" s="26"/>
      <c r="F31" s="27"/>
      <c r="G31" s="29"/>
      <c r="H31" s="29"/>
      <c r="I31" s="29"/>
      <c r="J31" s="29">
        <v>0</v>
      </c>
      <c r="K31" s="63"/>
      <c r="L31" s="18"/>
    </row>
    <row r="32" spans="1:12" ht="18.75" x14ac:dyDescent="0.3">
      <c r="A32" s="18"/>
      <c r="B32" s="36"/>
      <c r="C32" s="415"/>
      <c r="D32" s="30" t="s">
        <v>37</v>
      </c>
      <c r="E32" s="31"/>
      <c r="F32" s="32"/>
      <c r="G32" s="59"/>
      <c r="H32" s="60"/>
      <c r="I32" s="60"/>
      <c r="J32" s="61">
        <f>SUM(J34+J33)</f>
        <v>0</v>
      </c>
      <c r="K32" s="23"/>
      <c r="L32" s="18"/>
    </row>
    <row r="33" spans="1:13" ht="146.25" customHeight="1" x14ac:dyDescent="0.3">
      <c r="A33" s="18"/>
      <c r="B33" s="36"/>
      <c r="C33" s="415"/>
      <c r="D33" s="68" t="s">
        <v>430</v>
      </c>
      <c r="E33" s="31"/>
      <c r="F33" s="404" t="s">
        <v>319</v>
      </c>
      <c r="G33" s="404"/>
      <c r="H33" s="404"/>
      <c r="I33" s="404"/>
      <c r="J33" s="404"/>
      <c r="K33" s="23"/>
      <c r="L33" s="18"/>
    </row>
    <row r="34" spans="1:13" ht="146.25" customHeight="1" x14ac:dyDescent="0.3">
      <c r="A34" s="18"/>
      <c r="B34" s="36"/>
      <c r="C34" s="415"/>
      <c r="D34" s="34" t="s">
        <v>429</v>
      </c>
      <c r="E34" s="31"/>
      <c r="F34" s="405" t="s">
        <v>320</v>
      </c>
      <c r="G34" s="405"/>
      <c r="H34" s="405"/>
      <c r="I34" s="405"/>
      <c r="J34" s="405"/>
      <c r="K34" s="23"/>
      <c r="L34" s="18"/>
      <c r="M34" s="64"/>
    </row>
    <row r="35" spans="1:13" ht="18.75" customHeight="1" x14ac:dyDescent="0.3">
      <c r="A35" s="18"/>
      <c r="B35" s="18"/>
      <c r="C35" s="415"/>
      <c r="D35" s="39" t="s">
        <v>26</v>
      </c>
      <c r="E35" s="40"/>
      <c r="F35" s="197"/>
      <c r="G35" s="198"/>
      <c r="H35" s="199"/>
      <c r="I35" s="199"/>
      <c r="J35" s="200">
        <f>J5+J12+J32</f>
        <v>80132179</v>
      </c>
      <c r="K35" s="23"/>
      <c r="L35" s="18"/>
    </row>
    <row r="36" spans="1:13" ht="18.75" x14ac:dyDescent="0.3">
      <c r="A36" s="18"/>
      <c r="B36" s="18"/>
      <c r="C36" s="415"/>
      <c r="D36" s="19" t="s">
        <v>27</v>
      </c>
      <c r="E36" s="31"/>
      <c r="F36" s="45"/>
      <c r="G36" s="37"/>
      <c r="H36" s="37"/>
      <c r="I36" s="37"/>
      <c r="J36" s="33">
        <f>J38</f>
        <v>8000000</v>
      </c>
      <c r="K36" s="23"/>
      <c r="L36" s="18"/>
    </row>
    <row r="37" spans="1:13" ht="37.5" x14ac:dyDescent="0.3">
      <c r="A37" s="18"/>
      <c r="B37" s="18"/>
      <c r="C37" s="415"/>
      <c r="D37" s="46" t="s">
        <v>28</v>
      </c>
      <c r="E37" s="31"/>
      <c r="F37" s="45"/>
      <c r="G37" s="37"/>
      <c r="H37" s="37"/>
      <c r="I37" s="37"/>
      <c r="J37" s="33"/>
      <c r="K37" s="23"/>
      <c r="L37" s="18"/>
    </row>
    <row r="38" spans="1:13" ht="135.75" customHeight="1" x14ac:dyDescent="0.3">
      <c r="A38" s="18"/>
      <c r="B38" s="18"/>
      <c r="C38" s="415"/>
      <c r="D38" s="47" t="s">
        <v>29</v>
      </c>
      <c r="E38" s="40" t="s">
        <v>30</v>
      </c>
      <c r="F38" s="42">
        <v>1</v>
      </c>
      <c r="G38" s="28">
        <f>IF(J35*10%&gt;=8000000,8000000,IF(J35*10%&lt;=1000000,1000000,J35*10%))</f>
        <v>8000000</v>
      </c>
      <c r="H38" s="43"/>
      <c r="I38" s="43"/>
      <c r="J38" s="42">
        <f>F38*G38</f>
        <v>8000000</v>
      </c>
      <c r="K38" s="23"/>
      <c r="L38" s="18"/>
    </row>
    <row r="39" spans="1:13" ht="37.5" x14ac:dyDescent="0.3">
      <c r="A39" s="18"/>
      <c r="B39" s="48"/>
      <c r="C39" s="415"/>
      <c r="D39" s="39" t="s">
        <v>31</v>
      </c>
      <c r="E39" s="40"/>
      <c r="F39" s="42"/>
      <c r="G39" s="28"/>
      <c r="H39" s="43"/>
      <c r="I39" s="43"/>
      <c r="J39" s="42"/>
      <c r="K39" s="49">
        <f>J35+J36</f>
        <v>88132179</v>
      </c>
      <c r="L39" s="18"/>
    </row>
    <row r="40" spans="1:13" ht="18.75" x14ac:dyDescent="0.3">
      <c r="A40" s="18"/>
      <c r="B40" s="18"/>
      <c r="C40" s="415"/>
      <c r="D40" s="52" t="s">
        <v>32</v>
      </c>
      <c r="E40" s="50"/>
      <c r="F40" s="51"/>
      <c r="G40" s="52"/>
      <c r="H40" s="52"/>
      <c r="I40" s="52"/>
      <c r="J40" s="52"/>
      <c r="K40" s="52"/>
      <c r="L40" s="18"/>
    </row>
    <row r="41" spans="1:13" ht="75" x14ac:dyDescent="0.3">
      <c r="A41" s="53"/>
      <c r="B41" s="53"/>
      <c r="C41" s="416"/>
      <c r="D41" s="54" t="s">
        <v>33</v>
      </c>
      <c r="E41" s="55"/>
      <c r="F41" s="425" t="s">
        <v>34</v>
      </c>
      <c r="G41" s="426"/>
      <c r="H41" s="426"/>
      <c r="I41" s="426"/>
      <c r="J41" s="427"/>
      <c r="K41" s="56"/>
      <c r="L41" s="53"/>
    </row>
    <row r="42" spans="1:13" ht="18.75" x14ac:dyDescent="0.25">
      <c r="C42" s="58"/>
    </row>
    <row r="43" spans="1:13" ht="18.75" x14ac:dyDescent="0.25">
      <c r="C43" s="58"/>
    </row>
    <row r="44" spans="1:13" ht="18.75" x14ac:dyDescent="0.25">
      <c r="C44" s="58"/>
    </row>
    <row r="45" spans="1:13" ht="18.75" x14ac:dyDescent="0.25">
      <c r="C45" s="58"/>
    </row>
    <row r="46" spans="1:13" ht="18.75" x14ac:dyDescent="0.25">
      <c r="C46" s="58"/>
    </row>
    <row r="47" spans="1:13" ht="18.75" x14ac:dyDescent="0.25">
      <c r="C47" s="58"/>
    </row>
    <row r="48" spans="1:13" ht="18.75" x14ac:dyDescent="0.25">
      <c r="C48" s="58"/>
    </row>
    <row r="49" spans="3:3" ht="18.75" x14ac:dyDescent="0.25">
      <c r="C49" s="58"/>
    </row>
    <row r="50" spans="3:3" ht="18.75" x14ac:dyDescent="0.25">
      <c r="C50" s="58"/>
    </row>
    <row r="51" spans="3:3" ht="18.75" x14ac:dyDescent="0.25">
      <c r="C51" s="58"/>
    </row>
    <row r="52" spans="3:3" ht="18.75" x14ac:dyDescent="0.25">
      <c r="C52" s="58"/>
    </row>
    <row r="53" spans="3:3" ht="18.75" x14ac:dyDescent="0.25">
      <c r="C53" s="58"/>
    </row>
    <row r="54" spans="3:3" ht="18.75" x14ac:dyDescent="0.25">
      <c r="C54" s="58"/>
    </row>
    <row r="55" spans="3:3" ht="18.75" x14ac:dyDescent="0.25">
      <c r="C55" s="58"/>
    </row>
    <row r="56" spans="3:3" ht="18.75" x14ac:dyDescent="0.25">
      <c r="C56" s="58"/>
    </row>
    <row r="57" spans="3:3" ht="18.75" x14ac:dyDescent="0.25">
      <c r="C57" s="58"/>
    </row>
    <row r="58" spans="3:3" ht="18.75" x14ac:dyDescent="0.25">
      <c r="C58" s="58"/>
    </row>
    <row r="59" spans="3:3" ht="18.75" x14ac:dyDescent="0.25">
      <c r="C59" s="58"/>
    </row>
    <row r="60" spans="3:3" ht="18.75" x14ac:dyDescent="0.25">
      <c r="C60" s="58"/>
    </row>
    <row r="61" spans="3:3" ht="18.75" x14ac:dyDescent="0.25">
      <c r="C61" s="58"/>
    </row>
    <row r="62" spans="3:3" ht="18.75" x14ac:dyDescent="0.25">
      <c r="C62" s="58"/>
    </row>
    <row r="63" spans="3:3" ht="18.75" x14ac:dyDescent="0.25">
      <c r="C63" s="58"/>
    </row>
  </sheetData>
  <mergeCells count="10">
    <mergeCell ref="C4:C41"/>
    <mergeCell ref="B5:B8"/>
    <mergeCell ref="D10:J10"/>
    <mergeCell ref="G11:J11"/>
    <mergeCell ref="D14:J14"/>
    <mergeCell ref="D29:J29"/>
    <mergeCell ref="F41:J41"/>
    <mergeCell ref="F33:J33"/>
    <mergeCell ref="F34:J34"/>
    <mergeCell ref="F26:J27"/>
  </mergeCells>
  <pageMargins left="0.7" right="0.7" top="0.75" bottom="0.75" header="0.3" footer="0.3"/>
  <pageSetup paperSize="9" scale="54" fitToHeight="0" orientation="landscape" r:id="rId1"/>
  <headerFooter>
    <oddFooter>&amp;C&amp;A/&amp;P-&amp;N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7"/>
  <sheetViews>
    <sheetView topLeftCell="A19" zoomScale="70" zoomScaleNormal="70" workbookViewId="0">
      <selection activeCell="F22" sqref="F22:J23"/>
    </sheetView>
  </sheetViews>
  <sheetFormatPr defaultColWidth="9" defaultRowHeight="15" x14ac:dyDescent="0.25"/>
  <cols>
    <col min="1" max="1" width="4.85546875" style="99" customWidth="1"/>
    <col min="2" max="2" width="27.42578125" style="99" customWidth="1"/>
    <col min="3" max="3" width="70.85546875" style="99" customWidth="1"/>
    <col min="4" max="4" width="55.5703125" style="99" customWidth="1"/>
    <col min="5" max="5" width="8.5703125" style="99" customWidth="1"/>
    <col min="6" max="6" width="9.42578125" style="99" customWidth="1"/>
    <col min="7" max="7" width="12.42578125" style="99" customWidth="1"/>
    <col min="8" max="8" width="7.42578125" style="99" customWidth="1"/>
    <col min="9" max="9" width="11" style="99" customWidth="1"/>
    <col min="10" max="10" width="14.5703125" style="99" customWidth="1"/>
    <col min="11" max="11" width="14.140625"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75"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18.75" x14ac:dyDescent="0.3">
      <c r="A4" s="15">
        <v>5</v>
      </c>
      <c r="B4" s="159" t="s">
        <v>178</v>
      </c>
      <c r="C4" s="430" t="s">
        <v>442</v>
      </c>
      <c r="D4" s="78"/>
      <c r="E4" s="79"/>
      <c r="F4" s="79"/>
      <c r="G4" s="79"/>
      <c r="H4" s="79"/>
      <c r="I4" s="79"/>
      <c r="J4" s="80"/>
      <c r="K4" s="81"/>
      <c r="L4" s="17"/>
    </row>
    <row r="5" spans="1:18" ht="18.75" x14ac:dyDescent="0.3">
      <c r="A5" s="18"/>
      <c r="B5" s="433" t="s">
        <v>167</v>
      </c>
      <c r="C5" s="431"/>
      <c r="D5" s="82" t="s">
        <v>13</v>
      </c>
      <c r="E5" s="83"/>
      <c r="F5" s="83"/>
      <c r="G5" s="83"/>
      <c r="H5" s="83"/>
      <c r="I5" s="83"/>
      <c r="J5" s="85">
        <v>0</v>
      </c>
      <c r="K5" s="86"/>
      <c r="L5" s="18"/>
    </row>
    <row r="6" spans="1:18" ht="37.5" x14ac:dyDescent="0.3">
      <c r="A6" s="18"/>
      <c r="B6" s="434"/>
      <c r="C6" s="431"/>
      <c r="D6" s="19" t="s">
        <v>168</v>
      </c>
      <c r="E6" s="87" t="s">
        <v>14</v>
      </c>
      <c r="F6" s="201">
        <v>344.1</v>
      </c>
      <c r="G6" s="89"/>
      <c r="H6" s="90"/>
      <c r="I6" s="90"/>
      <c r="J6" s="89"/>
      <c r="K6" s="91"/>
      <c r="L6" s="18"/>
    </row>
    <row r="7" spans="1:18" ht="18.75" x14ac:dyDescent="0.3">
      <c r="A7" s="18"/>
      <c r="B7" s="434"/>
      <c r="C7" s="431"/>
      <c r="D7" s="95" t="s">
        <v>63</v>
      </c>
      <c r="E7" s="20" t="s">
        <v>14</v>
      </c>
      <c r="F7" s="202">
        <v>16.600000000000001</v>
      </c>
      <c r="G7" s="94"/>
      <c r="H7" s="90"/>
      <c r="I7" s="90"/>
      <c r="J7" s="89"/>
      <c r="K7" s="91"/>
      <c r="L7" s="18"/>
    </row>
    <row r="8" spans="1:18" ht="18.75" x14ac:dyDescent="0.3">
      <c r="A8" s="21"/>
      <c r="B8" s="434"/>
      <c r="C8" s="431"/>
      <c r="D8" s="95" t="s">
        <v>15</v>
      </c>
      <c r="E8" s="20" t="s">
        <v>14</v>
      </c>
      <c r="F8" s="202">
        <f>F6-F7</f>
        <v>327.5</v>
      </c>
      <c r="G8" s="89"/>
      <c r="H8" s="90"/>
      <c r="I8" s="90"/>
      <c r="J8" s="94"/>
      <c r="K8" s="91"/>
      <c r="L8" s="18"/>
    </row>
    <row r="9" spans="1:18" ht="18.75" x14ac:dyDescent="0.3">
      <c r="A9" s="21"/>
      <c r="B9" s="165" t="s">
        <v>169</v>
      </c>
      <c r="C9" s="431"/>
      <c r="D9" s="96" t="s">
        <v>223</v>
      </c>
      <c r="E9" s="87" t="s">
        <v>14</v>
      </c>
      <c r="F9" s="97">
        <f>SUM(F7)</f>
        <v>16.600000000000001</v>
      </c>
      <c r="G9" s="89"/>
      <c r="H9" s="90"/>
      <c r="I9" s="90"/>
      <c r="J9" s="89"/>
      <c r="K9" s="91"/>
      <c r="L9" s="18"/>
    </row>
    <row r="10" spans="1:18" ht="119.25" customHeight="1" x14ac:dyDescent="0.3">
      <c r="A10" s="21"/>
      <c r="B10" s="164" t="s">
        <v>170</v>
      </c>
      <c r="C10" s="431"/>
      <c r="D10" s="391" t="s">
        <v>180</v>
      </c>
      <c r="E10" s="392"/>
      <c r="F10" s="392"/>
      <c r="G10" s="392"/>
      <c r="H10" s="392"/>
      <c r="I10" s="392"/>
      <c r="J10" s="393"/>
      <c r="K10" s="23"/>
      <c r="L10" s="18"/>
    </row>
    <row r="11" spans="1:18" ht="99" customHeight="1" x14ac:dyDescent="0.3">
      <c r="A11" s="21"/>
      <c r="B11" s="66" t="s">
        <v>17</v>
      </c>
      <c r="C11" s="431"/>
      <c r="D11" s="76" t="s">
        <v>59</v>
      </c>
      <c r="E11" s="20" t="s">
        <v>14</v>
      </c>
      <c r="F11" s="77">
        <f>F9</f>
        <v>16.600000000000001</v>
      </c>
      <c r="G11" s="401" t="s">
        <v>181</v>
      </c>
      <c r="H11" s="402"/>
      <c r="I11" s="402"/>
      <c r="J11" s="403"/>
      <c r="K11" s="209"/>
      <c r="L11" s="18"/>
    </row>
    <row r="12" spans="1:18" ht="66.75" customHeight="1" x14ac:dyDescent="0.3">
      <c r="A12" s="21"/>
      <c r="B12" s="22" t="s">
        <v>18</v>
      </c>
      <c r="C12" s="431"/>
      <c r="D12" s="19" t="s">
        <v>19</v>
      </c>
      <c r="E12" s="26"/>
      <c r="F12" s="27"/>
      <c r="G12" s="24"/>
      <c r="H12" s="25"/>
      <c r="I12" s="25"/>
      <c r="J12" s="98">
        <f>J13+J21+J24</f>
        <v>23985588</v>
      </c>
      <c r="K12" s="23"/>
      <c r="L12" s="18"/>
    </row>
    <row r="13" spans="1:18" ht="33" customHeight="1" x14ac:dyDescent="0.3">
      <c r="A13" s="21"/>
      <c r="B13" s="204"/>
      <c r="C13" s="431"/>
      <c r="D13" s="19" t="s">
        <v>20</v>
      </c>
      <c r="E13" s="26"/>
      <c r="F13" s="27"/>
      <c r="G13" s="24"/>
      <c r="H13" s="25"/>
      <c r="I13" s="25"/>
      <c r="J13" s="98">
        <f>SUM(J15:J20)</f>
        <v>23933588</v>
      </c>
      <c r="K13" s="23"/>
      <c r="L13" s="18"/>
    </row>
    <row r="14" spans="1:18" ht="267.75" customHeight="1" x14ac:dyDescent="0.3">
      <c r="A14" s="21"/>
      <c r="B14" s="204"/>
      <c r="C14" s="431"/>
      <c r="D14" s="394" t="s">
        <v>439</v>
      </c>
      <c r="E14" s="395"/>
      <c r="F14" s="395"/>
      <c r="G14" s="395"/>
      <c r="H14" s="395"/>
      <c r="I14" s="395"/>
      <c r="J14" s="396"/>
      <c r="K14" s="23"/>
      <c r="L14" s="18"/>
    </row>
    <row r="15" spans="1:18" ht="113.25" customHeight="1" x14ac:dyDescent="0.3">
      <c r="A15" s="21"/>
      <c r="B15" s="204"/>
      <c r="C15" s="431"/>
      <c r="D15" s="100" t="s">
        <v>438</v>
      </c>
      <c r="E15" s="101" t="s">
        <v>21</v>
      </c>
      <c r="F15" s="205">
        <v>5.84</v>
      </c>
      <c r="G15" s="28">
        <f>2401296*1.1+481600+(2401296*8.5%)</f>
        <v>3327135.7600000002</v>
      </c>
      <c r="H15" s="104"/>
      <c r="I15" s="104">
        <v>0.8</v>
      </c>
      <c r="J15" s="24">
        <f>ROUND((F15*G15*I15),0)</f>
        <v>15544378</v>
      </c>
      <c r="K15" s="23"/>
      <c r="L15" s="67"/>
    </row>
    <row r="16" spans="1:18" ht="325.5" customHeight="1" x14ac:dyDescent="0.3">
      <c r="A16" s="21"/>
      <c r="B16" s="192"/>
      <c r="C16" s="431"/>
      <c r="D16" s="110" t="s">
        <v>171</v>
      </c>
      <c r="E16" s="101"/>
      <c r="F16" s="205"/>
      <c r="G16" s="28"/>
      <c r="H16" s="104"/>
      <c r="I16" s="104"/>
      <c r="J16" s="24"/>
      <c r="K16" s="23"/>
      <c r="L16" s="67"/>
      <c r="R16" s="99" t="s">
        <v>125</v>
      </c>
    </row>
    <row r="17" spans="1:12" ht="45" customHeight="1" x14ac:dyDescent="0.3">
      <c r="A17" s="21"/>
      <c r="B17" s="204"/>
      <c r="C17" s="431"/>
      <c r="D17" s="206" t="s">
        <v>172</v>
      </c>
      <c r="E17" s="177" t="s">
        <v>132</v>
      </c>
      <c r="F17" s="169">
        <v>6.8</v>
      </c>
      <c r="G17" s="170">
        <f>537955</f>
        <v>537955</v>
      </c>
      <c r="H17" s="171"/>
      <c r="I17" s="172">
        <v>1</v>
      </c>
      <c r="J17" s="173">
        <f>ROUND((F17*G17*I17),0)</f>
        <v>3658094</v>
      </c>
      <c r="K17" s="174"/>
      <c r="L17" s="174"/>
    </row>
    <row r="18" spans="1:12" ht="66" customHeight="1" x14ac:dyDescent="0.3">
      <c r="A18" s="21"/>
      <c r="B18" s="192"/>
      <c r="C18" s="431"/>
      <c r="D18" s="207" t="s">
        <v>173</v>
      </c>
      <c r="E18" s="171"/>
      <c r="F18" s="169"/>
      <c r="G18" s="169"/>
      <c r="H18" s="171"/>
      <c r="I18" s="171"/>
      <c r="J18" s="175"/>
      <c r="K18" s="174"/>
      <c r="L18" s="174"/>
    </row>
    <row r="19" spans="1:12" ht="40.5" customHeight="1" x14ac:dyDescent="0.3">
      <c r="A19" s="21"/>
      <c r="B19" s="192"/>
      <c r="C19" s="431"/>
      <c r="D19" s="168" t="s">
        <v>174</v>
      </c>
      <c r="E19" s="177" t="s">
        <v>175</v>
      </c>
      <c r="F19" s="169">
        <f>(6.8*0.4*0.2)+(8.2*0.6*0.2)</f>
        <v>1.528</v>
      </c>
      <c r="G19" s="170">
        <v>3096280</v>
      </c>
      <c r="H19" s="171"/>
      <c r="I19" s="172">
        <v>1</v>
      </c>
      <c r="J19" s="173">
        <f>ROUND((F19*G19*I19),0)</f>
        <v>4731116</v>
      </c>
      <c r="K19" s="174"/>
      <c r="L19" s="174"/>
    </row>
    <row r="20" spans="1:12" ht="75" customHeight="1" x14ac:dyDescent="0.3">
      <c r="A20" s="21"/>
      <c r="B20" s="192"/>
      <c r="C20" s="431"/>
      <c r="D20" s="207" t="s">
        <v>176</v>
      </c>
      <c r="E20" s="171"/>
      <c r="F20" s="169"/>
      <c r="G20" s="169"/>
      <c r="H20" s="171"/>
      <c r="I20" s="171"/>
      <c r="J20" s="175"/>
      <c r="K20" s="174"/>
      <c r="L20" s="174"/>
    </row>
    <row r="21" spans="1:12" ht="18.75" x14ac:dyDescent="0.3">
      <c r="A21" s="21"/>
      <c r="B21" s="192"/>
      <c r="C21" s="431"/>
      <c r="D21" s="179" t="s">
        <v>133</v>
      </c>
      <c r="E21" s="177"/>
      <c r="F21" s="208"/>
      <c r="G21" s="173"/>
      <c r="H21" s="203"/>
      <c r="I21" s="203"/>
      <c r="J21" s="180">
        <f>SUM(J22:J23)</f>
        <v>0</v>
      </c>
      <c r="K21" s="174"/>
      <c r="L21" s="181"/>
    </row>
    <row r="22" spans="1:12" ht="34.5" customHeight="1" x14ac:dyDescent="0.3">
      <c r="A22" s="21"/>
      <c r="B22" s="192"/>
      <c r="C22" s="431"/>
      <c r="D22" s="206" t="s">
        <v>164</v>
      </c>
      <c r="E22" s="177"/>
      <c r="F22" s="419" t="s">
        <v>466</v>
      </c>
      <c r="G22" s="420"/>
      <c r="H22" s="420"/>
      <c r="I22" s="420"/>
      <c r="J22" s="421"/>
      <c r="K22" s="174"/>
      <c r="L22" s="181"/>
    </row>
    <row r="23" spans="1:12" ht="18.75" x14ac:dyDescent="0.3">
      <c r="A23" s="21"/>
      <c r="B23" s="192"/>
      <c r="C23" s="431"/>
      <c r="D23" s="168" t="s">
        <v>136</v>
      </c>
      <c r="E23" s="177"/>
      <c r="F23" s="422"/>
      <c r="G23" s="423"/>
      <c r="H23" s="423"/>
      <c r="I23" s="423"/>
      <c r="J23" s="424"/>
      <c r="K23" s="174"/>
      <c r="L23" s="181"/>
    </row>
    <row r="24" spans="1:12" ht="25.5" customHeight="1" x14ac:dyDescent="0.3">
      <c r="A24" s="21"/>
      <c r="B24" s="192"/>
      <c r="C24" s="431"/>
      <c r="D24" s="19" t="s">
        <v>23</v>
      </c>
      <c r="E24" s="26"/>
      <c r="F24" s="27"/>
      <c r="G24" s="28"/>
      <c r="H24" s="25"/>
      <c r="I24" s="25"/>
      <c r="J24" s="98">
        <f>J26</f>
        <v>52000</v>
      </c>
      <c r="K24" s="23"/>
      <c r="L24" s="18"/>
    </row>
    <row r="25" spans="1:12" ht="139.5" customHeight="1" x14ac:dyDescent="0.3">
      <c r="A25" s="21"/>
      <c r="B25" s="192"/>
      <c r="C25" s="431"/>
      <c r="D25" s="398" t="s">
        <v>36</v>
      </c>
      <c r="E25" s="435"/>
      <c r="F25" s="435"/>
      <c r="G25" s="435"/>
      <c r="H25" s="435"/>
      <c r="I25" s="435"/>
      <c r="J25" s="436"/>
      <c r="K25" s="23"/>
      <c r="L25" s="18"/>
    </row>
    <row r="26" spans="1:12" ht="39.75" customHeight="1" x14ac:dyDescent="0.3">
      <c r="A26" s="21"/>
      <c r="B26" s="192"/>
      <c r="C26" s="431"/>
      <c r="D26" s="57" t="s">
        <v>177</v>
      </c>
      <c r="E26" s="20" t="s">
        <v>24</v>
      </c>
      <c r="F26" s="35">
        <v>1</v>
      </c>
      <c r="G26" s="113">
        <v>52000</v>
      </c>
      <c r="H26" s="114"/>
      <c r="I26" s="25">
        <v>1</v>
      </c>
      <c r="J26" s="24">
        <f>ROUND((F26*G26*I26),0)</f>
        <v>52000</v>
      </c>
      <c r="K26" s="67"/>
      <c r="L26" s="67"/>
    </row>
    <row r="27" spans="1:12" ht="28.5" customHeight="1" x14ac:dyDescent="0.3">
      <c r="A27" s="21"/>
      <c r="B27" s="21"/>
      <c r="C27" s="431"/>
      <c r="D27" s="19" t="s">
        <v>25</v>
      </c>
      <c r="E27" s="26"/>
      <c r="F27" s="27"/>
      <c r="G27" s="186"/>
      <c r="H27" s="187"/>
      <c r="I27" s="187"/>
      <c r="J27" s="29">
        <v>0</v>
      </c>
      <c r="K27" s="23"/>
      <c r="L27" s="18"/>
    </row>
    <row r="28" spans="1:12" ht="26.25" customHeight="1" x14ac:dyDescent="0.3">
      <c r="A28" s="21"/>
      <c r="B28" s="21"/>
      <c r="C28" s="431"/>
      <c r="D28" s="30" t="s">
        <v>37</v>
      </c>
      <c r="E28" s="31"/>
      <c r="F28" s="32"/>
      <c r="G28" s="188"/>
      <c r="H28" s="189"/>
      <c r="I28" s="189"/>
      <c r="J28" s="33">
        <f>J30+J29</f>
        <v>0</v>
      </c>
      <c r="K28" s="23"/>
      <c r="L28" s="18"/>
    </row>
    <row r="29" spans="1:12" ht="151.5" customHeight="1" x14ac:dyDescent="0.3">
      <c r="A29" s="21"/>
      <c r="B29" s="21"/>
      <c r="C29" s="431"/>
      <c r="D29" s="68" t="s">
        <v>433</v>
      </c>
      <c r="E29" s="31"/>
      <c r="F29" s="404" t="s">
        <v>319</v>
      </c>
      <c r="G29" s="404"/>
      <c r="H29" s="404"/>
      <c r="I29" s="404"/>
      <c r="J29" s="404"/>
      <c r="K29" s="23"/>
      <c r="L29" s="18"/>
    </row>
    <row r="30" spans="1:12" ht="151.5" customHeight="1" x14ac:dyDescent="0.3">
      <c r="A30" s="21"/>
      <c r="B30" s="21"/>
      <c r="C30" s="431"/>
      <c r="D30" s="34" t="s">
        <v>434</v>
      </c>
      <c r="E30" s="31"/>
      <c r="F30" s="405" t="s">
        <v>320</v>
      </c>
      <c r="G30" s="405"/>
      <c r="H30" s="405"/>
      <c r="I30" s="405"/>
      <c r="J30" s="405"/>
      <c r="K30" s="23"/>
      <c r="L30" s="18"/>
    </row>
    <row r="31" spans="1:12" ht="24" customHeight="1" x14ac:dyDescent="0.3">
      <c r="A31" s="18"/>
      <c r="B31" s="18"/>
      <c r="C31" s="431"/>
      <c r="D31" s="39" t="s">
        <v>26</v>
      </c>
      <c r="E31" s="40"/>
      <c r="F31" s="41"/>
      <c r="G31" s="42"/>
      <c r="H31" s="43"/>
      <c r="I31" s="43"/>
      <c r="J31" s="44">
        <f>J5+J12+J28</f>
        <v>23985588</v>
      </c>
      <c r="K31" s="23"/>
      <c r="L31" s="18"/>
    </row>
    <row r="32" spans="1:12" ht="29.25" customHeight="1" x14ac:dyDescent="0.3">
      <c r="A32" s="18"/>
      <c r="B32" s="18"/>
      <c r="C32" s="431"/>
      <c r="D32" s="19" t="s">
        <v>27</v>
      </c>
      <c r="E32" s="31"/>
      <c r="F32" s="45"/>
      <c r="G32" s="37"/>
      <c r="H32" s="37"/>
      <c r="I32" s="37"/>
      <c r="J32" s="33">
        <f>J34</f>
        <v>2398558.8000000003</v>
      </c>
      <c r="K32" s="23"/>
      <c r="L32" s="18"/>
    </row>
    <row r="33" spans="1:12" ht="56.25" x14ac:dyDescent="0.3">
      <c r="A33" s="18"/>
      <c r="B33" s="36"/>
      <c r="C33" s="431"/>
      <c r="D33" s="46" t="s">
        <v>28</v>
      </c>
      <c r="E33" s="31"/>
      <c r="F33" s="45"/>
      <c r="G33" s="37"/>
      <c r="H33" s="37"/>
      <c r="I33" s="37"/>
      <c r="J33" s="33"/>
      <c r="K33" s="23"/>
      <c r="L33" s="18"/>
    </row>
    <row r="34" spans="1:12" ht="168.75" x14ac:dyDescent="0.3">
      <c r="A34" s="18"/>
      <c r="B34" s="36"/>
      <c r="C34" s="431"/>
      <c r="D34" s="47" t="s">
        <v>29</v>
      </c>
      <c r="E34" s="40" t="s">
        <v>30</v>
      </c>
      <c r="F34" s="42">
        <v>1</v>
      </c>
      <c r="G34" s="28">
        <f>IF(J31*10%&gt;=8000000,8000000,IF(J31*10%&lt;=1000000,1000000,J31*10%))</f>
        <v>2398558.8000000003</v>
      </c>
      <c r="H34" s="43"/>
      <c r="I34" s="43"/>
      <c r="J34" s="42">
        <f>F34*G34</f>
        <v>2398558.8000000003</v>
      </c>
      <c r="K34" s="23"/>
      <c r="L34" s="18"/>
    </row>
    <row r="35" spans="1:12" ht="37.5" x14ac:dyDescent="0.3">
      <c r="A35" s="428"/>
      <c r="B35" s="428"/>
      <c r="C35" s="431"/>
      <c r="D35" s="39" t="s">
        <v>31</v>
      </c>
      <c r="E35" s="40"/>
      <c r="F35" s="42"/>
      <c r="G35" s="28"/>
      <c r="H35" s="43"/>
      <c r="I35" s="43"/>
      <c r="J35" s="42"/>
      <c r="K35" s="49">
        <f>J31+J32</f>
        <v>26384146.800000001</v>
      </c>
      <c r="L35" s="18"/>
    </row>
    <row r="36" spans="1:12" ht="18.75" x14ac:dyDescent="0.3">
      <c r="A36" s="428"/>
      <c r="B36" s="428"/>
      <c r="C36" s="431"/>
      <c r="D36" s="190" t="s">
        <v>32</v>
      </c>
      <c r="E36" s="50"/>
      <c r="F36" s="51"/>
      <c r="G36" s="52"/>
      <c r="H36" s="52"/>
      <c r="I36" s="52"/>
      <c r="J36" s="52"/>
      <c r="K36" s="52"/>
      <c r="L36" s="18"/>
    </row>
    <row r="37" spans="1:12" ht="93.75" x14ac:dyDescent="0.3">
      <c r="A37" s="429"/>
      <c r="B37" s="429"/>
      <c r="C37" s="432"/>
      <c r="D37" s="54" t="s">
        <v>33</v>
      </c>
      <c r="E37" s="55"/>
      <c r="F37" s="413" t="s">
        <v>34</v>
      </c>
      <c r="G37" s="413"/>
      <c r="H37" s="413"/>
      <c r="I37" s="413"/>
      <c r="J37" s="413"/>
      <c r="K37" s="56"/>
      <c r="L37" s="53"/>
    </row>
    <row r="38" spans="1:12" ht="18.75" x14ac:dyDescent="0.25">
      <c r="C38" s="191"/>
    </row>
    <row r="39" spans="1:12" ht="18.75" x14ac:dyDescent="0.25">
      <c r="C39" s="191"/>
    </row>
    <row r="40" spans="1:12" ht="18.75" x14ac:dyDescent="0.25">
      <c r="C40" s="191"/>
    </row>
    <row r="41" spans="1:12" ht="18.75" x14ac:dyDescent="0.25">
      <c r="C41" s="191"/>
    </row>
    <row r="42" spans="1:12" ht="18.75" x14ac:dyDescent="0.25">
      <c r="C42" s="191"/>
    </row>
    <row r="43" spans="1:12" ht="18.75" x14ac:dyDescent="0.25">
      <c r="C43" s="191"/>
    </row>
    <row r="44" spans="1:12" ht="18.75" x14ac:dyDescent="0.25">
      <c r="C44" s="191"/>
    </row>
    <row r="45" spans="1:12" ht="18.75" x14ac:dyDescent="0.25">
      <c r="C45" s="191"/>
    </row>
    <row r="46" spans="1:12" ht="18.75" x14ac:dyDescent="0.25">
      <c r="C46" s="191"/>
    </row>
    <row r="47" spans="1:12" ht="18.75" x14ac:dyDescent="0.25">
      <c r="C47" s="191"/>
    </row>
    <row r="48" spans="1:12" ht="18.75" x14ac:dyDescent="0.25">
      <c r="C48" s="191"/>
    </row>
    <row r="49" spans="3:3" ht="18.75" x14ac:dyDescent="0.25">
      <c r="C49" s="191"/>
    </row>
    <row r="50" spans="3:3" ht="18.75" x14ac:dyDescent="0.25">
      <c r="C50" s="191"/>
    </row>
    <row r="51" spans="3:3" ht="18.75" x14ac:dyDescent="0.25">
      <c r="C51" s="191"/>
    </row>
    <row r="52" spans="3:3" ht="18.75" x14ac:dyDescent="0.25">
      <c r="C52" s="191"/>
    </row>
    <row r="53" spans="3:3" ht="18.75" x14ac:dyDescent="0.25">
      <c r="C53" s="191"/>
    </row>
    <row r="54" spans="3:3" ht="18.75" x14ac:dyDescent="0.25">
      <c r="C54" s="191"/>
    </row>
    <row r="55" spans="3:3" ht="18.75" x14ac:dyDescent="0.25">
      <c r="C55" s="191"/>
    </row>
    <row r="56" spans="3:3" ht="18.75" x14ac:dyDescent="0.25">
      <c r="C56" s="191"/>
    </row>
    <row r="57" spans="3:3" ht="18.75" x14ac:dyDescent="0.25">
      <c r="C57" s="191"/>
    </row>
  </sheetData>
  <mergeCells count="12">
    <mergeCell ref="A35:A37"/>
    <mergeCell ref="B35:B37"/>
    <mergeCell ref="F37:J37"/>
    <mergeCell ref="C4:C37"/>
    <mergeCell ref="B5:B8"/>
    <mergeCell ref="D10:J10"/>
    <mergeCell ref="D14:J14"/>
    <mergeCell ref="D25:J25"/>
    <mergeCell ref="G11:J11"/>
    <mergeCell ref="F29:J29"/>
    <mergeCell ref="F30:J30"/>
    <mergeCell ref="F22:J23"/>
  </mergeCells>
  <pageMargins left="0.7" right="0.7" top="0.75" bottom="0.75" header="0.3" footer="0.3"/>
  <pageSetup paperSize="9" scale="53" fitToHeight="0" orientation="landscape" r:id="rId1"/>
  <headerFooter>
    <oddFooter>&amp;C&amp;A/&amp;P-&amp;N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6"/>
  <sheetViews>
    <sheetView topLeftCell="A13" zoomScale="70" zoomScaleNormal="70" workbookViewId="0">
      <selection activeCell="D20" sqref="D20"/>
    </sheetView>
  </sheetViews>
  <sheetFormatPr defaultColWidth="9" defaultRowHeight="15" x14ac:dyDescent="0.25"/>
  <cols>
    <col min="1" max="1" width="4.85546875" style="99" customWidth="1"/>
    <col min="2" max="2" width="24.7109375" style="99" customWidth="1"/>
    <col min="3" max="3" width="69.85546875" style="99" customWidth="1"/>
    <col min="4" max="4" width="55.5703125" style="99" customWidth="1"/>
    <col min="5" max="5" width="8.5703125" style="99" customWidth="1"/>
    <col min="6" max="6" width="9.42578125" style="99" customWidth="1"/>
    <col min="7" max="7" width="11.140625" style="99" customWidth="1"/>
    <col min="8" max="8" width="7.42578125" style="99" customWidth="1"/>
    <col min="9" max="9" width="11" style="99" customWidth="1"/>
    <col min="10" max="10" width="17.42578125" style="99" customWidth="1"/>
    <col min="11" max="11" width="15.5703125"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75"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37.5" customHeight="1" x14ac:dyDescent="0.3">
      <c r="A4" s="15">
        <v>6</v>
      </c>
      <c r="B4" s="211" t="s">
        <v>193</v>
      </c>
      <c r="C4" s="414" t="s">
        <v>450</v>
      </c>
      <c r="D4" s="78"/>
      <c r="E4" s="79"/>
      <c r="F4" s="79"/>
      <c r="G4" s="79"/>
      <c r="H4" s="79"/>
      <c r="I4" s="79"/>
      <c r="J4" s="80"/>
      <c r="K4" s="81"/>
      <c r="L4" s="17"/>
    </row>
    <row r="5" spans="1:18" ht="18.75" x14ac:dyDescent="0.3">
      <c r="A5" s="18"/>
      <c r="B5" s="417" t="s">
        <v>182</v>
      </c>
      <c r="C5" s="415"/>
      <c r="D5" s="82" t="s">
        <v>13</v>
      </c>
      <c r="E5" s="83"/>
      <c r="F5" s="83"/>
      <c r="G5" s="83"/>
      <c r="H5" s="83"/>
      <c r="I5" s="83"/>
      <c r="J5" s="85">
        <v>0</v>
      </c>
      <c r="K5" s="86"/>
      <c r="L5" s="18"/>
    </row>
    <row r="6" spans="1:18" ht="18.75" x14ac:dyDescent="0.3">
      <c r="A6" s="18"/>
      <c r="B6" s="418"/>
      <c r="C6" s="415"/>
      <c r="D6" s="19" t="s">
        <v>183</v>
      </c>
      <c r="E6" s="87" t="s">
        <v>14</v>
      </c>
      <c r="F6" s="201">
        <v>95.5</v>
      </c>
      <c r="G6" s="89"/>
      <c r="H6" s="90"/>
      <c r="I6" s="90"/>
      <c r="J6" s="89"/>
      <c r="K6" s="91"/>
      <c r="L6" s="18"/>
    </row>
    <row r="7" spans="1:18" ht="28.5" customHeight="1" x14ac:dyDescent="0.3">
      <c r="A7" s="18"/>
      <c r="B7" s="418"/>
      <c r="C7" s="415"/>
      <c r="D7" s="95" t="s">
        <v>192</v>
      </c>
      <c r="E7" s="20" t="s">
        <v>14</v>
      </c>
      <c r="F7" s="202">
        <v>95.5</v>
      </c>
      <c r="G7" s="94"/>
      <c r="H7" s="90"/>
      <c r="I7" s="90"/>
      <c r="J7" s="89"/>
      <c r="K7" s="91"/>
      <c r="L7" s="18"/>
    </row>
    <row r="8" spans="1:18" ht="33.75" customHeight="1" x14ac:dyDescent="0.3">
      <c r="A8" s="21"/>
      <c r="B8" s="418"/>
      <c r="C8" s="415"/>
      <c r="D8" s="95" t="s">
        <v>15</v>
      </c>
      <c r="E8" s="20" t="s">
        <v>14</v>
      </c>
      <c r="F8" s="202">
        <v>0</v>
      </c>
      <c r="G8" s="89"/>
      <c r="H8" s="90"/>
      <c r="I8" s="90"/>
      <c r="J8" s="94"/>
      <c r="K8" s="91"/>
      <c r="L8" s="18"/>
    </row>
    <row r="9" spans="1:18" ht="37.5" x14ac:dyDescent="0.3">
      <c r="A9" s="21"/>
      <c r="B9" s="219" t="s">
        <v>169</v>
      </c>
      <c r="C9" s="415"/>
      <c r="D9" s="96" t="s">
        <v>223</v>
      </c>
      <c r="E9" s="87" t="s">
        <v>14</v>
      </c>
      <c r="F9" s="97"/>
      <c r="G9" s="89"/>
      <c r="H9" s="90"/>
      <c r="I9" s="90"/>
      <c r="J9" s="89"/>
      <c r="K9" s="91"/>
      <c r="L9" s="18"/>
    </row>
    <row r="10" spans="1:18" ht="130.5" customHeight="1" x14ac:dyDescent="0.3">
      <c r="A10" s="21"/>
      <c r="B10" s="220" t="s">
        <v>191</v>
      </c>
      <c r="C10" s="415"/>
      <c r="D10" s="391" t="s">
        <v>180</v>
      </c>
      <c r="E10" s="392"/>
      <c r="F10" s="392"/>
      <c r="G10" s="392"/>
      <c r="H10" s="392"/>
      <c r="I10" s="392"/>
      <c r="J10" s="393"/>
      <c r="K10" s="23"/>
      <c r="L10" s="18"/>
    </row>
    <row r="11" spans="1:18" ht="98.25" customHeight="1" x14ac:dyDescent="0.3">
      <c r="A11" s="21"/>
      <c r="B11" s="218" t="s">
        <v>17</v>
      </c>
      <c r="C11" s="415"/>
      <c r="D11" s="76" t="s">
        <v>59</v>
      </c>
      <c r="E11" s="20" t="s">
        <v>14</v>
      </c>
      <c r="F11" s="77">
        <f>F7</f>
        <v>95.5</v>
      </c>
      <c r="G11" s="401" t="s">
        <v>181</v>
      </c>
      <c r="H11" s="402"/>
      <c r="I11" s="402"/>
      <c r="J11" s="403"/>
      <c r="K11" s="23"/>
      <c r="L11" s="18"/>
    </row>
    <row r="12" spans="1:18" ht="75" x14ac:dyDescent="0.3">
      <c r="A12" s="21"/>
      <c r="B12" s="212" t="s">
        <v>18</v>
      </c>
      <c r="C12" s="415"/>
      <c r="D12" s="19" t="s">
        <v>19</v>
      </c>
      <c r="E12" s="26"/>
      <c r="F12" s="27"/>
      <c r="G12" s="24"/>
      <c r="H12" s="25"/>
      <c r="I12" s="25"/>
      <c r="J12" s="98">
        <f>J13+J19+J20</f>
        <v>12096869</v>
      </c>
      <c r="K12" s="23"/>
      <c r="L12" s="18"/>
    </row>
    <row r="13" spans="1:18" ht="18.75" x14ac:dyDescent="0.3">
      <c r="A13" s="21"/>
      <c r="C13" s="415"/>
      <c r="D13" s="19" t="s">
        <v>20</v>
      </c>
      <c r="E13" s="26"/>
      <c r="F13" s="27"/>
      <c r="G13" s="24"/>
      <c r="H13" s="25"/>
      <c r="I13" s="25"/>
      <c r="J13" s="98">
        <f>SUM(J15:J18)</f>
        <v>9204869</v>
      </c>
      <c r="K13" s="23"/>
      <c r="L13" s="18"/>
    </row>
    <row r="14" spans="1:18" ht="229.5" customHeight="1" x14ac:dyDescent="0.3">
      <c r="A14" s="21"/>
      <c r="C14" s="415"/>
      <c r="D14" s="394" t="s">
        <v>184</v>
      </c>
      <c r="E14" s="395"/>
      <c r="F14" s="395"/>
      <c r="G14" s="395"/>
      <c r="H14" s="395"/>
      <c r="I14" s="395"/>
      <c r="J14" s="396"/>
      <c r="K14" s="23"/>
      <c r="L14" s="18"/>
    </row>
    <row r="15" spans="1:18" ht="44.25" customHeight="1" x14ac:dyDescent="0.3">
      <c r="A15" s="21"/>
      <c r="C15" s="415"/>
      <c r="D15" s="168" t="s">
        <v>185</v>
      </c>
      <c r="E15" s="177" t="s">
        <v>175</v>
      </c>
      <c r="F15" s="169">
        <f>(3.9+4.5+18.7+5.7)*0.4*0.2</f>
        <v>2.6240000000000006</v>
      </c>
      <c r="G15" s="170">
        <v>3096390</v>
      </c>
      <c r="H15" s="171"/>
      <c r="I15" s="172">
        <v>1</v>
      </c>
      <c r="J15" s="173">
        <f>ROUND((F15*G15*I15),0)</f>
        <v>8124927</v>
      </c>
      <c r="K15" s="174"/>
      <c r="L15" s="174"/>
    </row>
    <row r="16" spans="1:18" ht="75.75" customHeight="1" x14ac:dyDescent="0.3">
      <c r="A16" s="21"/>
      <c r="B16" s="212"/>
      <c r="C16" s="415"/>
      <c r="D16" s="207" t="s">
        <v>176</v>
      </c>
      <c r="E16" s="171"/>
      <c r="F16" s="169" t="s">
        <v>186</v>
      </c>
      <c r="G16" s="169"/>
      <c r="H16" s="171"/>
      <c r="I16" s="171"/>
      <c r="J16" s="175"/>
      <c r="K16" s="174"/>
      <c r="L16" s="174"/>
      <c r="R16" s="99" t="s">
        <v>125</v>
      </c>
    </row>
    <row r="17" spans="1:13" ht="45" customHeight="1" x14ac:dyDescent="0.3">
      <c r="A17" s="21"/>
      <c r="C17" s="415"/>
      <c r="D17" s="206" t="s">
        <v>187</v>
      </c>
      <c r="E17" s="177" t="s">
        <v>132</v>
      </c>
      <c r="F17" s="169">
        <v>3.3</v>
      </c>
      <c r="G17" s="170">
        <f>ROUND((357656-(357656*8.5%)),0)</f>
        <v>327255</v>
      </c>
      <c r="H17" s="171"/>
      <c r="I17" s="172">
        <v>1</v>
      </c>
      <c r="J17" s="173">
        <f>ROUND((F17*G17*I17),0)</f>
        <v>1079942</v>
      </c>
      <c r="K17" s="174"/>
      <c r="L17" s="174"/>
    </row>
    <row r="18" spans="1:13" ht="156" customHeight="1" x14ac:dyDescent="0.3">
      <c r="A18" s="21"/>
      <c r="B18" s="212"/>
      <c r="C18" s="415"/>
      <c r="D18" s="207" t="s">
        <v>188</v>
      </c>
      <c r="E18" s="171"/>
      <c r="F18" s="169"/>
      <c r="G18" s="213"/>
      <c r="H18" s="171"/>
      <c r="I18" s="171"/>
      <c r="J18" s="175"/>
      <c r="K18" s="174"/>
      <c r="L18" s="174"/>
    </row>
    <row r="19" spans="1:13" ht="18.75" x14ac:dyDescent="0.3">
      <c r="A19" s="21"/>
      <c r="B19" s="212"/>
      <c r="C19" s="415"/>
      <c r="D19" s="179" t="s">
        <v>133</v>
      </c>
      <c r="E19" s="171"/>
      <c r="F19" s="169"/>
      <c r="G19" s="169"/>
      <c r="H19" s="171"/>
      <c r="I19" s="171"/>
      <c r="J19" s="180">
        <v>0</v>
      </c>
      <c r="K19" s="174"/>
      <c r="L19" s="174"/>
    </row>
    <row r="20" spans="1:13" ht="18.75" x14ac:dyDescent="0.3">
      <c r="A20" s="21"/>
      <c r="B20" s="212"/>
      <c r="C20" s="415"/>
      <c r="D20" s="19" t="s">
        <v>23</v>
      </c>
      <c r="E20" s="171"/>
      <c r="F20" s="169"/>
      <c r="G20" s="169"/>
      <c r="H20" s="171"/>
      <c r="I20" s="171"/>
      <c r="J20" s="98">
        <f>SUM(J22:J25)</f>
        <v>2892000</v>
      </c>
      <c r="K20" s="174"/>
      <c r="L20" s="181"/>
    </row>
    <row r="21" spans="1:13" ht="115.5" customHeight="1" x14ac:dyDescent="0.3">
      <c r="A21" s="21"/>
      <c r="B21" s="212"/>
      <c r="C21" s="415"/>
      <c r="D21" s="398" t="s">
        <v>36</v>
      </c>
      <c r="E21" s="399"/>
      <c r="F21" s="399"/>
      <c r="G21" s="399"/>
      <c r="H21" s="399"/>
      <c r="I21" s="399"/>
      <c r="J21" s="400"/>
      <c r="K21" s="23"/>
      <c r="L21" s="18"/>
    </row>
    <row r="22" spans="1:13" ht="37.5" x14ac:dyDescent="0.3">
      <c r="A22" s="21"/>
      <c r="B22" s="212"/>
      <c r="C22" s="415"/>
      <c r="D22" s="69" t="s">
        <v>189</v>
      </c>
      <c r="E22" s="20" t="s">
        <v>24</v>
      </c>
      <c r="F22" s="35">
        <v>2</v>
      </c>
      <c r="G22" s="113">
        <v>997000</v>
      </c>
      <c r="H22" s="114"/>
      <c r="I22" s="25">
        <v>1</v>
      </c>
      <c r="J22" s="24">
        <f>ROUND((F22*G22*I22),0)</f>
        <v>1994000</v>
      </c>
      <c r="K22" s="67"/>
      <c r="L22" s="67"/>
    </row>
    <row r="23" spans="1:13" ht="37.5" x14ac:dyDescent="0.3">
      <c r="A23" s="21"/>
      <c r="B23" s="212"/>
      <c r="C23" s="415"/>
      <c r="D23" s="57" t="s">
        <v>190</v>
      </c>
      <c r="E23" s="20" t="s">
        <v>24</v>
      </c>
      <c r="F23" s="35">
        <v>2</v>
      </c>
      <c r="G23" s="113">
        <v>53000</v>
      </c>
      <c r="H23" s="114"/>
      <c r="I23" s="25">
        <v>1</v>
      </c>
      <c r="J23" s="24">
        <f>ROUND((F23*G23*I23),0)</f>
        <v>106000</v>
      </c>
      <c r="K23" s="67"/>
      <c r="L23" s="67"/>
    </row>
    <row r="24" spans="1:13" ht="37.5" customHeight="1" x14ac:dyDescent="0.3">
      <c r="A24" s="21"/>
      <c r="B24" s="212"/>
      <c r="C24" s="415"/>
      <c r="D24" s="69" t="s">
        <v>373</v>
      </c>
      <c r="E24" s="20" t="s">
        <v>24</v>
      </c>
      <c r="F24" s="35">
        <v>2</v>
      </c>
      <c r="G24" s="113">
        <v>168000</v>
      </c>
      <c r="H24" s="114"/>
      <c r="I24" s="25">
        <v>1</v>
      </c>
      <c r="J24" s="24">
        <f>ROUND((F24*G24*I24),0)</f>
        <v>336000</v>
      </c>
      <c r="K24" s="67"/>
      <c r="L24" s="67"/>
    </row>
    <row r="25" spans="1:13" ht="37.5" x14ac:dyDescent="0.3">
      <c r="A25" s="21"/>
      <c r="B25" s="212"/>
      <c r="C25" s="415"/>
      <c r="D25" s="69" t="s">
        <v>372</v>
      </c>
      <c r="E25" s="20" t="s">
        <v>24</v>
      </c>
      <c r="F25" s="35">
        <v>2</v>
      </c>
      <c r="G25" s="113">
        <v>228000</v>
      </c>
      <c r="H25" s="114"/>
      <c r="I25" s="25">
        <v>1</v>
      </c>
      <c r="J25" s="24">
        <f>ROUND((F25*G25*I25),0)</f>
        <v>456000</v>
      </c>
      <c r="K25" s="67"/>
      <c r="L25" s="67"/>
    </row>
    <row r="26" spans="1:13" ht="18.75" x14ac:dyDescent="0.3">
      <c r="A26" s="21"/>
      <c r="B26" s="212"/>
      <c r="C26" s="415"/>
      <c r="D26" s="19" t="s">
        <v>25</v>
      </c>
      <c r="E26" s="26"/>
      <c r="F26" s="27"/>
      <c r="G26" s="186"/>
      <c r="H26" s="187"/>
      <c r="I26" s="187"/>
      <c r="J26" s="29">
        <v>0</v>
      </c>
      <c r="K26" s="23"/>
      <c r="L26" s="18"/>
    </row>
    <row r="27" spans="1:13" ht="18.75" x14ac:dyDescent="0.3">
      <c r="A27" s="21"/>
      <c r="B27" s="212"/>
      <c r="C27" s="415"/>
      <c r="D27" s="30" t="s">
        <v>149</v>
      </c>
      <c r="E27" s="31"/>
      <c r="F27" s="32"/>
      <c r="G27" s="188"/>
      <c r="H27" s="189"/>
      <c r="I27" s="189"/>
      <c r="J27" s="33">
        <f>J29+J28</f>
        <v>0</v>
      </c>
      <c r="K27" s="23"/>
      <c r="L27" s="18"/>
    </row>
    <row r="28" spans="1:13" ht="158.25" customHeight="1" x14ac:dyDescent="0.3">
      <c r="A28" s="21"/>
      <c r="B28" s="212"/>
      <c r="C28" s="415"/>
      <c r="D28" s="68" t="s">
        <v>443</v>
      </c>
      <c r="E28" s="31"/>
      <c r="F28" s="404" t="s">
        <v>319</v>
      </c>
      <c r="G28" s="404"/>
      <c r="H28" s="404"/>
      <c r="I28" s="404"/>
      <c r="J28" s="404"/>
      <c r="K28" s="23"/>
      <c r="L28" s="18"/>
    </row>
    <row r="29" spans="1:13" ht="158.25" customHeight="1" x14ac:dyDescent="0.3">
      <c r="A29" s="21"/>
      <c r="B29" s="212"/>
      <c r="C29" s="415"/>
      <c r="D29" s="34" t="s">
        <v>444</v>
      </c>
      <c r="E29" s="31"/>
      <c r="F29" s="405" t="s">
        <v>320</v>
      </c>
      <c r="G29" s="405"/>
      <c r="H29" s="405"/>
      <c r="I29" s="405"/>
      <c r="J29" s="405"/>
      <c r="K29" s="23"/>
      <c r="L29" s="18"/>
    </row>
    <row r="30" spans="1:13" ht="18.75" x14ac:dyDescent="0.3">
      <c r="A30" s="18"/>
      <c r="B30" s="214"/>
      <c r="C30" s="415"/>
      <c r="D30" s="39" t="s">
        <v>26</v>
      </c>
      <c r="E30" s="40"/>
      <c r="F30" s="41"/>
      <c r="G30" s="42"/>
      <c r="H30" s="43"/>
      <c r="I30" s="43"/>
      <c r="J30" s="44">
        <f>J5+J12+J27</f>
        <v>12096869</v>
      </c>
      <c r="K30" s="23"/>
      <c r="L30" s="18"/>
    </row>
    <row r="31" spans="1:13" ht="18.75" x14ac:dyDescent="0.3">
      <c r="A31" s="18"/>
      <c r="B31" s="214"/>
      <c r="C31" s="415"/>
      <c r="D31" s="19" t="s">
        <v>27</v>
      </c>
      <c r="E31" s="31"/>
      <c r="F31" s="45"/>
      <c r="G31" s="37"/>
      <c r="H31" s="37"/>
      <c r="I31" s="37"/>
      <c r="J31" s="33">
        <f>J33</f>
        <v>1209686.9000000001</v>
      </c>
      <c r="K31" s="23"/>
      <c r="L31" s="18"/>
    </row>
    <row r="32" spans="1:13" ht="56.25" x14ac:dyDescent="0.3">
      <c r="A32" s="18"/>
      <c r="B32" s="214"/>
      <c r="C32" s="415"/>
      <c r="D32" s="46" t="s">
        <v>28</v>
      </c>
      <c r="E32" s="31"/>
      <c r="F32" s="45"/>
      <c r="G32" s="37"/>
      <c r="H32" s="37"/>
      <c r="I32" s="37"/>
      <c r="J32" s="33"/>
      <c r="K32" s="23"/>
      <c r="L32" s="18"/>
      <c r="M32" s="182"/>
    </row>
    <row r="33" spans="1:13" ht="168.75" x14ac:dyDescent="0.3">
      <c r="A33" s="18"/>
      <c r="B33" s="18"/>
      <c r="C33" s="415"/>
      <c r="D33" s="47" t="s">
        <v>29</v>
      </c>
      <c r="E33" s="40" t="s">
        <v>30</v>
      </c>
      <c r="F33" s="42">
        <v>1</v>
      </c>
      <c r="G33" s="28">
        <f>IF(J30*10%&gt;=8000000,8000000,IF(J30*10%&lt;=1000000,1000000,J30*10%))</f>
        <v>1209686.9000000001</v>
      </c>
      <c r="H33" s="43"/>
      <c r="I33" s="43"/>
      <c r="J33" s="42">
        <f>F33*G33</f>
        <v>1209686.9000000001</v>
      </c>
      <c r="K33" s="23"/>
      <c r="L33" s="18"/>
      <c r="M33" s="182"/>
    </row>
    <row r="34" spans="1:13" ht="37.5" x14ac:dyDescent="0.3">
      <c r="A34" s="18"/>
      <c r="B34" s="18"/>
      <c r="C34" s="415"/>
      <c r="D34" s="39" t="s">
        <v>31</v>
      </c>
      <c r="E34" s="40"/>
      <c r="F34" s="42"/>
      <c r="G34" s="28"/>
      <c r="H34" s="43"/>
      <c r="I34" s="43"/>
      <c r="J34" s="42"/>
      <c r="K34" s="332">
        <f>J5+J12+J26+J27+J31</f>
        <v>13306555.9</v>
      </c>
      <c r="L34" s="18"/>
    </row>
    <row r="35" spans="1:13" ht="18.75" x14ac:dyDescent="0.3">
      <c r="A35" s="204"/>
      <c r="B35" s="204"/>
      <c r="C35" s="415"/>
      <c r="D35" s="190" t="s">
        <v>32</v>
      </c>
      <c r="E35" s="50"/>
      <c r="F35" s="51"/>
      <c r="G35" s="52"/>
      <c r="H35" s="52"/>
      <c r="I35" s="52"/>
      <c r="J35" s="52"/>
      <c r="K35" s="52"/>
      <c r="L35" s="18"/>
    </row>
    <row r="36" spans="1:13" ht="93.75" x14ac:dyDescent="0.3">
      <c r="A36" s="216"/>
      <c r="B36" s="216"/>
      <c r="C36" s="416"/>
      <c r="D36" s="54" t="s">
        <v>33</v>
      </c>
      <c r="E36" s="55"/>
      <c r="F36" s="413" t="s">
        <v>34</v>
      </c>
      <c r="G36" s="413"/>
      <c r="H36" s="413"/>
      <c r="I36" s="413"/>
      <c r="J36" s="413"/>
      <c r="K36" s="56"/>
      <c r="L36" s="53"/>
    </row>
    <row r="37" spans="1:13" ht="18.75" x14ac:dyDescent="0.25">
      <c r="C37" s="191"/>
    </row>
    <row r="38" spans="1:13" ht="18.75" x14ac:dyDescent="0.25">
      <c r="C38" s="191"/>
    </row>
    <row r="39" spans="1:13" ht="18.75" x14ac:dyDescent="0.25">
      <c r="C39" s="191"/>
    </row>
    <row r="40" spans="1:13" ht="18.75" x14ac:dyDescent="0.25">
      <c r="C40" s="191"/>
    </row>
    <row r="41" spans="1:13" ht="18.75" x14ac:dyDescent="0.25">
      <c r="C41" s="191"/>
    </row>
    <row r="42" spans="1:13" ht="18.75" x14ac:dyDescent="0.25">
      <c r="C42" s="191"/>
    </row>
    <row r="43" spans="1:13" ht="18.75" x14ac:dyDescent="0.25">
      <c r="C43" s="191"/>
    </row>
    <row r="44" spans="1:13" ht="18.75" x14ac:dyDescent="0.25">
      <c r="C44" s="191"/>
    </row>
    <row r="45" spans="1:13" ht="18.75" x14ac:dyDescent="0.25">
      <c r="C45" s="191"/>
    </row>
    <row r="46" spans="1:13" ht="18.75" x14ac:dyDescent="0.25">
      <c r="C46" s="191"/>
    </row>
    <row r="47" spans="1:13" ht="18.75" x14ac:dyDescent="0.25">
      <c r="C47" s="191"/>
    </row>
    <row r="48" spans="1:13" ht="18.75" x14ac:dyDescent="0.25">
      <c r="C48" s="191"/>
    </row>
    <row r="49" spans="3:3" ht="18.75" x14ac:dyDescent="0.25">
      <c r="C49" s="191"/>
    </row>
    <row r="50" spans="3:3" ht="18.75" x14ac:dyDescent="0.25">
      <c r="C50" s="191"/>
    </row>
    <row r="51" spans="3:3" ht="18.75" x14ac:dyDescent="0.25">
      <c r="C51" s="191"/>
    </row>
    <row r="52" spans="3:3" ht="18.75" x14ac:dyDescent="0.25">
      <c r="C52" s="191"/>
    </row>
    <row r="53" spans="3:3" ht="18.75" x14ac:dyDescent="0.25">
      <c r="C53" s="191"/>
    </row>
    <row r="54" spans="3:3" ht="18.75" x14ac:dyDescent="0.25">
      <c r="C54" s="191"/>
    </row>
    <row r="55" spans="3:3" ht="18.75" x14ac:dyDescent="0.25">
      <c r="C55" s="191"/>
    </row>
    <row r="56" spans="3:3" ht="18.75" x14ac:dyDescent="0.25">
      <c r="C56" s="191"/>
    </row>
  </sheetData>
  <mergeCells count="9">
    <mergeCell ref="F36:J36"/>
    <mergeCell ref="B5:B8"/>
    <mergeCell ref="D10:J10"/>
    <mergeCell ref="G11:J11"/>
    <mergeCell ref="D14:J14"/>
    <mergeCell ref="D21:J21"/>
    <mergeCell ref="F28:J28"/>
    <mergeCell ref="F29:J29"/>
    <mergeCell ref="C4:C36"/>
  </mergeCells>
  <pageMargins left="0.7" right="0.7" top="0.75" bottom="0.75" header="0.3" footer="0.3"/>
  <pageSetup paperSize="9" scale="54" fitToHeight="0" orientation="landscape" r:id="rId1"/>
  <headerFooter>
    <oddFooter>&amp;C&amp;A/&amp;P-&amp;N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R77"/>
  <sheetViews>
    <sheetView topLeftCell="A11" zoomScale="70" zoomScaleNormal="70" workbookViewId="0">
      <selection activeCell="D14" sqref="D14:J14"/>
    </sheetView>
  </sheetViews>
  <sheetFormatPr defaultColWidth="9" defaultRowHeight="15" x14ac:dyDescent="0.25"/>
  <cols>
    <col min="1" max="1" width="4.85546875" style="99" customWidth="1"/>
    <col min="2" max="2" width="25.5703125" style="99" customWidth="1"/>
    <col min="3" max="3" width="69.42578125" style="99" customWidth="1"/>
    <col min="4" max="4" width="55.5703125" style="99" customWidth="1"/>
    <col min="5" max="5" width="8.5703125" style="99" customWidth="1"/>
    <col min="6" max="6" width="9.42578125" style="99" customWidth="1"/>
    <col min="7" max="7" width="14.5703125" style="99" customWidth="1"/>
    <col min="8" max="8" width="7.42578125" style="99" customWidth="1"/>
    <col min="9" max="9" width="11" style="99" customWidth="1"/>
    <col min="10" max="10" width="17.42578125" style="99" customWidth="1"/>
    <col min="11" max="11" width="16"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75"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56.25" customHeight="1" x14ac:dyDescent="0.3">
      <c r="A4" s="15">
        <v>7</v>
      </c>
      <c r="B4" s="103" t="s">
        <v>445</v>
      </c>
      <c r="C4" s="414" t="s">
        <v>449</v>
      </c>
      <c r="D4" s="78"/>
      <c r="E4" s="79"/>
      <c r="F4" s="79"/>
      <c r="G4" s="79"/>
      <c r="H4" s="79"/>
      <c r="I4" s="79"/>
      <c r="J4" s="80"/>
      <c r="K4" s="81"/>
      <c r="L4" s="17"/>
    </row>
    <row r="5" spans="1:18" ht="18.75" customHeight="1" x14ac:dyDescent="0.3">
      <c r="A5" s="18"/>
      <c r="B5" s="433" t="s">
        <v>195</v>
      </c>
      <c r="C5" s="415"/>
      <c r="D5" s="82" t="s">
        <v>13</v>
      </c>
      <c r="E5" s="83"/>
      <c r="F5" s="83"/>
      <c r="G5" s="83"/>
      <c r="H5" s="83"/>
      <c r="I5" s="83"/>
      <c r="J5" s="160">
        <v>0</v>
      </c>
      <c r="K5" s="333"/>
      <c r="L5" s="18"/>
    </row>
    <row r="6" spans="1:18" ht="18.75" x14ac:dyDescent="0.3">
      <c r="A6" s="18"/>
      <c r="B6" s="434"/>
      <c r="C6" s="415"/>
      <c r="D6" s="19" t="s">
        <v>196</v>
      </c>
      <c r="E6" s="87" t="s">
        <v>14</v>
      </c>
      <c r="F6" s="97">
        <v>174.5</v>
      </c>
      <c r="G6" s="89"/>
      <c r="H6" s="90"/>
      <c r="I6" s="90"/>
      <c r="J6" s="89"/>
      <c r="K6" s="334"/>
      <c r="L6" s="18"/>
    </row>
    <row r="7" spans="1:18" ht="44.25" customHeight="1" x14ac:dyDescent="0.3">
      <c r="A7" s="18"/>
      <c r="B7" s="434"/>
      <c r="C7" s="415"/>
      <c r="D7" s="95" t="s">
        <v>192</v>
      </c>
      <c r="E7" s="20" t="s">
        <v>14</v>
      </c>
      <c r="F7" s="222">
        <v>174.5</v>
      </c>
      <c r="G7" s="94"/>
      <c r="H7" s="90"/>
      <c r="I7" s="90"/>
      <c r="J7" s="89"/>
      <c r="K7" s="334"/>
      <c r="L7" s="18"/>
    </row>
    <row r="8" spans="1:18" ht="26.25" customHeight="1" x14ac:dyDescent="0.3">
      <c r="A8" s="21"/>
      <c r="B8" s="434"/>
      <c r="C8" s="415"/>
      <c r="D8" s="95" t="s">
        <v>15</v>
      </c>
      <c r="E8" s="20" t="s">
        <v>14</v>
      </c>
      <c r="F8" s="222">
        <v>0</v>
      </c>
      <c r="G8" s="89"/>
      <c r="H8" s="90"/>
      <c r="I8" s="90"/>
      <c r="J8" s="94"/>
      <c r="K8" s="334"/>
      <c r="L8" s="18"/>
    </row>
    <row r="9" spans="1:18" ht="18.75" x14ac:dyDescent="0.3">
      <c r="A9" s="21"/>
      <c r="B9" s="223"/>
      <c r="C9" s="415"/>
      <c r="D9" s="19" t="s">
        <v>222</v>
      </c>
      <c r="E9" s="87"/>
      <c r="F9" s="97"/>
      <c r="G9" s="89"/>
      <c r="H9" s="90"/>
      <c r="I9" s="90"/>
      <c r="J9" s="89"/>
      <c r="K9" s="334"/>
      <c r="L9" s="18"/>
    </row>
    <row r="10" spans="1:18" ht="112.5" customHeight="1" x14ac:dyDescent="0.3">
      <c r="A10" s="21"/>
      <c r="B10" s="224" t="s">
        <v>197</v>
      </c>
      <c r="C10" s="415"/>
      <c r="D10" s="391" t="s">
        <v>180</v>
      </c>
      <c r="E10" s="392"/>
      <c r="F10" s="392"/>
      <c r="G10" s="392"/>
      <c r="H10" s="392"/>
      <c r="I10" s="392"/>
      <c r="J10" s="393"/>
      <c r="K10" s="18"/>
      <c r="L10" s="18"/>
    </row>
    <row r="11" spans="1:18" ht="100.5" customHeight="1" x14ac:dyDescent="0.3">
      <c r="A11" s="21"/>
      <c r="B11" s="225"/>
      <c r="C11" s="415"/>
      <c r="D11" s="76" t="s">
        <v>59</v>
      </c>
      <c r="E11" s="20" t="s">
        <v>14</v>
      </c>
      <c r="F11" s="77">
        <f>F7</f>
        <v>174.5</v>
      </c>
      <c r="G11" s="401" t="s">
        <v>181</v>
      </c>
      <c r="H11" s="402"/>
      <c r="I11" s="402"/>
      <c r="J11" s="403"/>
      <c r="K11" s="18"/>
      <c r="L11" s="18"/>
    </row>
    <row r="12" spans="1:18" ht="18.75" x14ac:dyDescent="0.3">
      <c r="A12" s="21"/>
      <c r="B12" s="226"/>
      <c r="C12" s="415"/>
      <c r="D12" s="19" t="s">
        <v>19</v>
      </c>
      <c r="E12" s="26"/>
      <c r="F12" s="27"/>
      <c r="G12" s="24"/>
      <c r="H12" s="25"/>
      <c r="I12" s="25"/>
      <c r="J12" s="98">
        <f>J13+J26+J29</f>
        <v>167341837</v>
      </c>
      <c r="K12" s="18"/>
      <c r="L12" s="18"/>
    </row>
    <row r="13" spans="1:18" ht="18.75" x14ac:dyDescent="0.3">
      <c r="A13" s="21"/>
      <c r="B13" s="166" t="s">
        <v>17</v>
      </c>
      <c r="C13" s="415"/>
      <c r="D13" s="19" t="s">
        <v>20</v>
      </c>
      <c r="E13" s="26"/>
      <c r="F13" s="27"/>
      <c r="G13" s="24"/>
      <c r="H13" s="25"/>
      <c r="I13" s="25"/>
      <c r="J13" s="98">
        <f>SUM(J15:J25)</f>
        <v>138463837</v>
      </c>
      <c r="K13" s="18"/>
      <c r="L13" s="18"/>
    </row>
    <row r="14" spans="1:18" ht="297" customHeight="1" x14ac:dyDescent="0.3">
      <c r="A14" s="21"/>
      <c r="B14" s="269" t="s">
        <v>18</v>
      </c>
      <c r="C14" s="415"/>
      <c r="D14" s="394" t="s">
        <v>446</v>
      </c>
      <c r="E14" s="395"/>
      <c r="F14" s="395"/>
      <c r="G14" s="395"/>
      <c r="H14" s="395"/>
      <c r="I14" s="395"/>
      <c r="J14" s="396"/>
      <c r="K14" s="18"/>
      <c r="L14" s="18"/>
    </row>
    <row r="15" spans="1:18" ht="120" customHeight="1" x14ac:dyDescent="0.3">
      <c r="A15" s="21"/>
      <c r="C15" s="415"/>
      <c r="D15" s="168" t="s">
        <v>224</v>
      </c>
      <c r="E15" s="26"/>
      <c r="F15" s="169"/>
      <c r="G15" s="170"/>
      <c r="H15" s="171"/>
      <c r="I15" s="172"/>
      <c r="J15" s="173"/>
      <c r="K15" s="181"/>
      <c r="L15" s="181"/>
    </row>
    <row r="16" spans="1:18" ht="75" x14ac:dyDescent="0.3">
      <c r="A16" s="21"/>
      <c r="B16" s="221"/>
      <c r="C16" s="415"/>
      <c r="D16" s="168" t="s">
        <v>198</v>
      </c>
      <c r="E16" s="26" t="s">
        <v>21</v>
      </c>
      <c r="F16" s="169">
        <f>6*4.6</f>
        <v>27.599999999999998</v>
      </c>
      <c r="G16" s="170">
        <f>ROUND(((2309288*1.1)+481600-(2309288*8.5%)),0)</f>
        <v>2825527</v>
      </c>
      <c r="H16" s="171"/>
      <c r="I16" s="172">
        <v>0.8</v>
      </c>
      <c r="J16" s="173">
        <f>ROUND((F16*G16*I16),0)</f>
        <v>62387636</v>
      </c>
      <c r="K16" s="181"/>
      <c r="L16" s="181"/>
      <c r="R16" s="99" t="s">
        <v>125</v>
      </c>
    </row>
    <row r="17" spans="1:12" ht="310.5" customHeight="1" x14ac:dyDescent="0.3">
      <c r="A17" s="21"/>
      <c r="C17" s="415"/>
      <c r="D17" s="105" t="s">
        <v>199</v>
      </c>
      <c r="E17" s="26"/>
      <c r="F17" s="169"/>
      <c r="G17" s="170"/>
      <c r="H17" s="171"/>
      <c r="I17" s="172"/>
      <c r="J17" s="173"/>
      <c r="K17" s="181"/>
      <c r="L17" s="181"/>
    </row>
    <row r="18" spans="1:12" ht="75" x14ac:dyDescent="0.3">
      <c r="A18" s="21"/>
      <c r="B18" s="221"/>
      <c r="C18" s="415"/>
      <c r="D18" s="168" t="s">
        <v>200</v>
      </c>
      <c r="E18" s="26" t="s">
        <v>21</v>
      </c>
      <c r="F18" s="169">
        <f>2.1*4.6</f>
        <v>9.66</v>
      </c>
      <c r="G18" s="170">
        <f>ROUND(((2309288*1.1) - (2309288*8.5%)),0)</f>
        <v>2343927</v>
      </c>
      <c r="H18" s="171"/>
      <c r="I18" s="172">
        <v>0.8</v>
      </c>
      <c r="J18" s="173">
        <f>ROUND((F18*G18*I18),0)</f>
        <v>18113868</v>
      </c>
      <c r="K18" s="181"/>
      <c r="L18" s="181"/>
    </row>
    <row r="19" spans="1:12" ht="237" customHeight="1" x14ac:dyDescent="0.3">
      <c r="A19" s="21"/>
      <c r="B19" s="221"/>
      <c r="C19" s="415"/>
      <c r="D19" s="105" t="s">
        <v>201</v>
      </c>
      <c r="E19" s="171"/>
      <c r="F19" s="169"/>
      <c r="G19" s="169"/>
      <c r="H19" s="171"/>
      <c r="I19" s="171"/>
      <c r="J19" s="175"/>
      <c r="K19" s="181"/>
      <c r="L19" s="181"/>
    </row>
    <row r="20" spans="1:12" ht="37.5" x14ac:dyDescent="0.3">
      <c r="A20" s="21"/>
      <c r="B20" s="221"/>
      <c r="C20" s="415"/>
      <c r="D20" s="176" t="s">
        <v>202</v>
      </c>
      <c r="E20" s="26" t="s">
        <v>21</v>
      </c>
      <c r="F20" s="169">
        <f>3.3*8.1</f>
        <v>26.729999999999997</v>
      </c>
      <c r="G20" s="170">
        <v>1259097</v>
      </c>
      <c r="H20" s="171"/>
      <c r="I20" s="172">
        <v>0.8</v>
      </c>
      <c r="J20" s="173">
        <f>ROUND((F20*G20*I20),0)</f>
        <v>26924530</v>
      </c>
      <c r="K20" s="181"/>
      <c r="L20" s="181"/>
    </row>
    <row r="21" spans="1:12" ht="75" x14ac:dyDescent="0.3">
      <c r="A21" s="21"/>
      <c r="B21" s="221"/>
      <c r="C21" s="415"/>
      <c r="D21" s="110" t="s">
        <v>203</v>
      </c>
      <c r="E21" s="177"/>
      <c r="F21" s="169"/>
      <c r="G21" s="178"/>
      <c r="H21" s="171"/>
      <c r="I21" s="172"/>
      <c r="J21" s="173"/>
      <c r="K21" s="181"/>
      <c r="L21" s="181"/>
    </row>
    <row r="22" spans="1:12" ht="56.25" x14ac:dyDescent="0.3">
      <c r="A22" s="21"/>
      <c r="B22" s="221"/>
      <c r="C22" s="415"/>
      <c r="D22" s="176" t="s">
        <v>204</v>
      </c>
      <c r="E22" s="26" t="s">
        <v>21</v>
      </c>
      <c r="F22" s="169">
        <f>(1.9*3.3)+(7.8*2.1)</f>
        <v>22.65</v>
      </c>
      <c r="G22" s="170">
        <v>230583</v>
      </c>
      <c r="H22" s="171"/>
      <c r="I22" s="172">
        <v>0.7</v>
      </c>
      <c r="J22" s="173">
        <f>ROUND((F22*G22*I22),0)</f>
        <v>3655893</v>
      </c>
      <c r="K22" s="181"/>
      <c r="L22" s="181"/>
    </row>
    <row r="23" spans="1:12" ht="75" x14ac:dyDescent="0.3">
      <c r="A23" s="21"/>
      <c r="B23" s="221"/>
      <c r="C23" s="415"/>
      <c r="D23" s="110" t="s">
        <v>205</v>
      </c>
      <c r="E23" s="177"/>
      <c r="F23" s="169"/>
      <c r="G23" s="178"/>
      <c r="H23" s="171"/>
      <c r="I23" s="172"/>
      <c r="J23" s="173"/>
      <c r="K23" s="181"/>
      <c r="L23" s="181"/>
    </row>
    <row r="24" spans="1:12" ht="47.25" customHeight="1" x14ac:dyDescent="0.3">
      <c r="A24" s="21"/>
      <c r="B24" s="221"/>
      <c r="C24" s="415"/>
      <c r="D24" s="176" t="s">
        <v>206</v>
      </c>
      <c r="E24" s="26" t="s">
        <v>132</v>
      </c>
      <c r="F24" s="169">
        <v>50.9</v>
      </c>
      <c r="G24" s="170">
        <v>537955</v>
      </c>
      <c r="H24" s="171"/>
      <c r="I24" s="172">
        <v>1</v>
      </c>
      <c r="J24" s="173">
        <f>ROUND((F24*G24*I24),0)</f>
        <v>27381910</v>
      </c>
      <c r="K24" s="181"/>
      <c r="L24" s="181"/>
    </row>
    <row r="25" spans="1:12" ht="75" x14ac:dyDescent="0.3">
      <c r="A25" s="21"/>
      <c r="B25" s="221"/>
      <c r="C25" s="415"/>
      <c r="D25" s="105" t="s">
        <v>70</v>
      </c>
      <c r="E25" s="171"/>
      <c r="F25" s="169"/>
      <c r="G25" s="213"/>
      <c r="H25" s="171"/>
      <c r="I25" s="171"/>
      <c r="J25" s="175"/>
      <c r="K25" s="181"/>
      <c r="L25" s="181"/>
    </row>
    <row r="26" spans="1:12" ht="18.75" x14ac:dyDescent="0.3">
      <c r="A26" s="21"/>
      <c r="B26" s="221"/>
      <c r="C26" s="415"/>
      <c r="D26" s="179" t="s">
        <v>133</v>
      </c>
      <c r="E26" s="171"/>
      <c r="F26" s="169"/>
      <c r="G26" s="169"/>
      <c r="H26" s="171"/>
      <c r="I26" s="171"/>
      <c r="J26" s="180">
        <f>SUM(J27:J28)</f>
        <v>0</v>
      </c>
      <c r="K26" s="181"/>
      <c r="L26" s="181"/>
    </row>
    <row r="27" spans="1:12" ht="18.75" x14ac:dyDescent="0.3">
      <c r="A27" s="21"/>
      <c r="B27" s="221"/>
      <c r="C27" s="415"/>
      <c r="D27" s="176" t="s">
        <v>134</v>
      </c>
      <c r="E27" s="26" t="s">
        <v>135</v>
      </c>
      <c r="F27" s="419" t="s">
        <v>466</v>
      </c>
      <c r="G27" s="420"/>
      <c r="H27" s="420"/>
      <c r="I27" s="420"/>
      <c r="J27" s="421"/>
      <c r="K27" s="181"/>
      <c r="L27" s="181"/>
    </row>
    <row r="28" spans="1:12" ht="18.75" x14ac:dyDescent="0.3">
      <c r="A28" s="21"/>
      <c r="B28" s="221"/>
      <c r="C28" s="415"/>
      <c r="D28" s="176" t="s">
        <v>136</v>
      </c>
      <c r="E28" s="26" t="s">
        <v>137</v>
      </c>
      <c r="F28" s="422"/>
      <c r="G28" s="423"/>
      <c r="H28" s="423"/>
      <c r="I28" s="423"/>
      <c r="J28" s="424"/>
      <c r="K28" s="181"/>
      <c r="L28" s="181"/>
    </row>
    <row r="29" spans="1:12" ht="18.75" x14ac:dyDescent="0.3">
      <c r="A29" s="21"/>
      <c r="B29" s="221"/>
      <c r="C29" s="415"/>
      <c r="D29" s="19" t="s">
        <v>23</v>
      </c>
      <c r="E29" s="171"/>
      <c r="F29" s="169"/>
      <c r="G29" s="169"/>
      <c r="H29" s="171"/>
      <c r="I29" s="171"/>
      <c r="J29" s="98">
        <f>SUM(J31:J46)</f>
        <v>28878000</v>
      </c>
      <c r="K29" s="181"/>
      <c r="L29" s="181"/>
    </row>
    <row r="30" spans="1:12" ht="134.25" customHeight="1" x14ac:dyDescent="0.3">
      <c r="A30" s="21"/>
      <c r="B30" s="221"/>
      <c r="C30" s="415"/>
      <c r="D30" s="398" t="s">
        <v>36</v>
      </c>
      <c r="E30" s="399"/>
      <c r="F30" s="399"/>
      <c r="G30" s="399"/>
      <c r="H30" s="399"/>
      <c r="I30" s="399"/>
      <c r="J30" s="400"/>
      <c r="K30" s="18"/>
      <c r="L30" s="18"/>
    </row>
    <row r="31" spans="1:12" ht="18.75" x14ac:dyDescent="0.3">
      <c r="A31" s="21"/>
      <c r="B31" s="221"/>
      <c r="C31" s="415"/>
      <c r="D31" s="69" t="s">
        <v>207</v>
      </c>
      <c r="E31" s="20" t="s">
        <v>24</v>
      </c>
      <c r="F31" s="35">
        <v>2</v>
      </c>
      <c r="G31" s="113">
        <v>4933000</v>
      </c>
      <c r="H31" s="114"/>
      <c r="I31" s="25">
        <v>1</v>
      </c>
      <c r="J31" s="24">
        <f>ROUND((F31*G31*I31),0)</f>
        <v>9866000</v>
      </c>
      <c r="K31" s="204"/>
      <c r="L31" s="204"/>
    </row>
    <row r="32" spans="1:12" ht="18.75" x14ac:dyDescent="0.3">
      <c r="A32" s="21"/>
      <c r="B32" s="221"/>
      <c r="C32" s="415"/>
      <c r="D32" s="69" t="s">
        <v>208</v>
      </c>
      <c r="E32" s="20" t="s">
        <v>24</v>
      </c>
      <c r="F32" s="35">
        <v>12</v>
      </c>
      <c r="G32" s="113">
        <v>986000</v>
      </c>
      <c r="H32" s="114"/>
      <c r="I32" s="25">
        <v>1</v>
      </c>
      <c r="J32" s="24">
        <f t="shared" ref="J32:J46" si="0">ROUND((F32*G32*I32),0)</f>
        <v>11832000</v>
      </c>
      <c r="K32" s="204"/>
      <c r="L32" s="204"/>
    </row>
    <row r="33" spans="1:13" ht="18.75" x14ac:dyDescent="0.3">
      <c r="A33" s="21"/>
      <c r="B33" s="221"/>
      <c r="C33" s="415"/>
      <c r="D33" s="69" t="s">
        <v>209</v>
      </c>
      <c r="E33" s="20" t="s">
        <v>24</v>
      </c>
      <c r="F33" s="35">
        <v>2</v>
      </c>
      <c r="G33" s="113">
        <v>824000</v>
      </c>
      <c r="H33" s="114"/>
      <c r="I33" s="25">
        <v>1</v>
      </c>
      <c r="J33" s="24">
        <f t="shared" si="0"/>
        <v>1648000</v>
      </c>
      <c r="K33" s="204"/>
      <c r="L33" s="204"/>
    </row>
    <row r="34" spans="1:13" ht="18.75" x14ac:dyDescent="0.3">
      <c r="A34" s="21"/>
      <c r="B34" s="221"/>
      <c r="C34" s="415"/>
      <c r="D34" s="69" t="s">
        <v>210</v>
      </c>
      <c r="E34" s="20" t="s">
        <v>24</v>
      </c>
      <c r="F34" s="35">
        <v>2</v>
      </c>
      <c r="G34" s="113">
        <v>593000</v>
      </c>
      <c r="H34" s="114"/>
      <c r="I34" s="25">
        <v>1</v>
      </c>
      <c r="J34" s="24">
        <f t="shared" si="0"/>
        <v>1186000</v>
      </c>
      <c r="K34" s="204"/>
      <c r="L34" s="204"/>
    </row>
    <row r="35" spans="1:13" ht="18.75" x14ac:dyDescent="0.3">
      <c r="A35" s="21"/>
      <c r="B35" s="221"/>
      <c r="C35" s="415"/>
      <c r="D35" s="69" t="s">
        <v>211</v>
      </c>
      <c r="E35" s="20" t="s">
        <v>24</v>
      </c>
      <c r="F35" s="35">
        <v>1</v>
      </c>
      <c r="G35" s="113">
        <v>1844000</v>
      </c>
      <c r="H35" s="114"/>
      <c r="I35" s="25">
        <v>1</v>
      </c>
      <c r="J35" s="24">
        <f t="shared" si="0"/>
        <v>1844000</v>
      </c>
      <c r="K35" s="204"/>
      <c r="L35" s="204"/>
    </row>
    <row r="36" spans="1:13" ht="18.75" x14ac:dyDescent="0.3">
      <c r="A36" s="21"/>
      <c r="B36" s="221"/>
      <c r="C36" s="415"/>
      <c r="D36" s="69" t="s">
        <v>212</v>
      </c>
      <c r="E36" s="20" t="s">
        <v>24</v>
      </c>
      <c r="F36" s="35">
        <v>1</v>
      </c>
      <c r="G36" s="113">
        <v>185000</v>
      </c>
      <c r="H36" s="114"/>
      <c r="I36" s="25">
        <v>1</v>
      </c>
      <c r="J36" s="24">
        <f t="shared" si="0"/>
        <v>185000</v>
      </c>
      <c r="K36" s="204"/>
      <c r="L36" s="204"/>
      <c r="M36" s="182"/>
    </row>
    <row r="37" spans="1:13" ht="18.75" x14ac:dyDescent="0.3">
      <c r="A37" s="21"/>
      <c r="B37" s="221"/>
      <c r="C37" s="415"/>
      <c r="D37" s="69" t="s">
        <v>213</v>
      </c>
      <c r="E37" s="20" t="s">
        <v>140</v>
      </c>
      <c r="F37" s="35">
        <v>2</v>
      </c>
      <c r="G37" s="113">
        <v>169000</v>
      </c>
      <c r="H37" s="114"/>
      <c r="I37" s="25">
        <v>1</v>
      </c>
      <c r="J37" s="24">
        <f t="shared" si="0"/>
        <v>338000</v>
      </c>
      <c r="K37" s="204"/>
      <c r="L37" s="204"/>
    </row>
    <row r="38" spans="1:13" ht="37.5" x14ac:dyDescent="0.3">
      <c r="A38" s="21"/>
      <c r="B38" s="221"/>
      <c r="C38" s="415"/>
      <c r="D38" s="69" t="s">
        <v>214</v>
      </c>
      <c r="E38" s="20" t="s">
        <v>24</v>
      </c>
      <c r="F38" s="35">
        <v>2</v>
      </c>
      <c r="G38" s="113">
        <v>53000</v>
      </c>
      <c r="H38" s="114"/>
      <c r="I38" s="25">
        <v>1</v>
      </c>
      <c r="J38" s="24">
        <f t="shared" si="0"/>
        <v>106000</v>
      </c>
      <c r="K38" s="204"/>
      <c r="L38" s="204"/>
    </row>
    <row r="39" spans="1:13" ht="18.75" x14ac:dyDescent="0.3">
      <c r="A39" s="21"/>
      <c r="B39" s="221"/>
      <c r="C39" s="415"/>
      <c r="D39" s="69" t="s">
        <v>215</v>
      </c>
      <c r="E39" s="20" t="s">
        <v>24</v>
      </c>
      <c r="F39" s="35">
        <v>1</v>
      </c>
      <c r="G39" s="113">
        <v>114000</v>
      </c>
      <c r="H39" s="114"/>
      <c r="I39" s="25">
        <v>1</v>
      </c>
      <c r="J39" s="24">
        <f t="shared" si="0"/>
        <v>114000</v>
      </c>
      <c r="K39" s="204"/>
      <c r="L39" s="204"/>
      <c r="M39" s="182"/>
    </row>
    <row r="40" spans="1:13" ht="18.75" x14ac:dyDescent="0.3">
      <c r="A40" s="21"/>
      <c r="B40" s="221"/>
      <c r="C40" s="415"/>
      <c r="D40" s="69" t="s">
        <v>451</v>
      </c>
      <c r="E40" s="20" t="s">
        <v>24</v>
      </c>
      <c r="F40" s="35">
        <v>1</v>
      </c>
      <c r="G40" s="113">
        <v>141000</v>
      </c>
      <c r="H40" s="114"/>
      <c r="I40" s="25">
        <v>1</v>
      </c>
      <c r="J40" s="24">
        <f t="shared" si="0"/>
        <v>141000</v>
      </c>
      <c r="K40" s="204"/>
      <c r="L40" s="204"/>
      <c r="M40" s="182"/>
    </row>
    <row r="41" spans="1:13" ht="18.75" x14ac:dyDescent="0.3">
      <c r="A41" s="21"/>
      <c r="B41" s="221"/>
      <c r="C41" s="415"/>
      <c r="D41" s="69" t="s">
        <v>216</v>
      </c>
      <c r="E41" s="20" t="s">
        <v>140</v>
      </c>
      <c r="F41" s="35">
        <v>1</v>
      </c>
      <c r="G41" s="113">
        <v>84000</v>
      </c>
      <c r="H41" s="114"/>
      <c r="I41" s="25">
        <v>1</v>
      </c>
      <c r="J41" s="24">
        <f t="shared" si="0"/>
        <v>84000</v>
      </c>
      <c r="K41" s="204"/>
      <c r="L41" s="204"/>
    </row>
    <row r="42" spans="1:13" ht="37.5" x14ac:dyDescent="0.3">
      <c r="A42" s="21"/>
      <c r="B42" s="221"/>
      <c r="C42" s="415"/>
      <c r="D42" s="69" t="s">
        <v>217</v>
      </c>
      <c r="E42" s="20" t="s">
        <v>24</v>
      </c>
      <c r="F42" s="35">
        <v>3</v>
      </c>
      <c r="G42" s="113">
        <v>228000</v>
      </c>
      <c r="H42" s="114"/>
      <c r="I42" s="25">
        <v>1</v>
      </c>
      <c r="J42" s="24">
        <f t="shared" si="0"/>
        <v>684000</v>
      </c>
      <c r="K42" s="204"/>
      <c r="L42" s="204"/>
    </row>
    <row r="43" spans="1:13" ht="56.25" x14ac:dyDescent="0.3">
      <c r="A43" s="21"/>
      <c r="B43" s="221"/>
      <c r="C43" s="415"/>
      <c r="D43" s="69" t="s">
        <v>218</v>
      </c>
      <c r="E43" s="20" t="s">
        <v>24</v>
      </c>
      <c r="F43" s="35">
        <v>1</v>
      </c>
      <c r="G43" s="113">
        <v>228000</v>
      </c>
      <c r="H43" s="114"/>
      <c r="I43" s="25">
        <v>1</v>
      </c>
      <c r="J43" s="24">
        <f t="shared" si="0"/>
        <v>228000</v>
      </c>
      <c r="K43" s="204"/>
      <c r="L43" s="204"/>
    </row>
    <row r="44" spans="1:13" ht="37.5" x14ac:dyDescent="0.3">
      <c r="A44" s="21"/>
      <c r="B44" s="221"/>
      <c r="C44" s="415"/>
      <c r="D44" s="69" t="s">
        <v>219</v>
      </c>
      <c r="E44" s="20" t="s">
        <v>24</v>
      </c>
      <c r="F44" s="35">
        <v>1</v>
      </c>
      <c r="G44" s="113">
        <v>329000</v>
      </c>
      <c r="H44" s="114"/>
      <c r="I44" s="25">
        <v>1</v>
      </c>
      <c r="J44" s="24">
        <f t="shared" si="0"/>
        <v>329000</v>
      </c>
      <c r="K44" s="204"/>
      <c r="L44" s="204"/>
    </row>
    <row r="45" spans="1:13" ht="56.25" x14ac:dyDescent="0.3">
      <c r="A45" s="21"/>
      <c r="B45" s="221"/>
      <c r="C45" s="415"/>
      <c r="D45" s="69" t="s">
        <v>220</v>
      </c>
      <c r="E45" s="20" t="s">
        <v>24</v>
      </c>
      <c r="F45" s="35">
        <v>1</v>
      </c>
      <c r="G45" s="113">
        <v>168000</v>
      </c>
      <c r="H45" s="114"/>
      <c r="I45" s="25">
        <v>1</v>
      </c>
      <c r="J45" s="24">
        <f t="shared" si="0"/>
        <v>168000</v>
      </c>
      <c r="K45" s="204"/>
      <c r="L45" s="204"/>
    </row>
    <row r="46" spans="1:13" ht="37.5" x14ac:dyDescent="0.3">
      <c r="A46" s="21"/>
      <c r="B46" s="221"/>
      <c r="C46" s="415"/>
      <c r="D46" s="69" t="s">
        <v>221</v>
      </c>
      <c r="E46" s="20" t="s">
        <v>24</v>
      </c>
      <c r="F46" s="35">
        <v>1</v>
      </c>
      <c r="G46" s="113">
        <v>125000</v>
      </c>
      <c r="H46" s="114"/>
      <c r="I46" s="25">
        <v>1</v>
      </c>
      <c r="J46" s="24">
        <f t="shared" si="0"/>
        <v>125000</v>
      </c>
      <c r="K46" s="204"/>
      <c r="L46" s="204"/>
    </row>
    <row r="47" spans="1:13" ht="18.75" x14ac:dyDescent="0.3">
      <c r="A47" s="21"/>
      <c r="B47" s="21"/>
      <c r="C47" s="415"/>
      <c r="D47" s="19" t="s">
        <v>25</v>
      </c>
      <c r="E47" s="26"/>
      <c r="F47" s="27"/>
      <c r="G47" s="186"/>
      <c r="H47" s="187"/>
      <c r="I47" s="187"/>
      <c r="J47" s="29">
        <v>0</v>
      </c>
      <c r="K47" s="18"/>
      <c r="L47" s="18"/>
    </row>
    <row r="48" spans="1:13" ht="18.75" x14ac:dyDescent="0.3">
      <c r="A48" s="21"/>
      <c r="B48" s="21"/>
      <c r="C48" s="415"/>
      <c r="D48" s="30" t="s">
        <v>149</v>
      </c>
      <c r="E48" s="31"/>
      <c r="F48" s="32"/>
      <c r="G48" s="188"/>
      <c r="H48" s="189"/>
      <c r="I48" s="189"/>
      <c r="J48" s="33">
        <f>J50</f>
        <v>0</v>
      </c>
      <c r="K48" s="18"/>
      <c r="L48" s="18"/>
    </row>
    <row r="49" spans="1:12" ht="144.75" customHeight="1" x14ac:dyDescent="0.3">
      <c r="A49" s="21"/>
      <c r="B49" s="21"/>
      <c r="C49" s="415"/>
      <c r="D49" s="68" t="s">
        <v>447</v>
      </c>
      <c r="E49" s="31"/>
      <c r="F49" s="404" t="s">
        <v>319</v>
      </c>
      <c r="G49" s="404"/>
      <c r="H49" s="404"/>
      <c r="I49" s="404"/>
      <c r="J49" s="404"/>
      <c r="K49" s="18"/>
      <c r="L49" s="18"/>
    </row>
    <row r="50" spans="1:12" ht="144.75" customHeight="1" x14ac:dyDescent="0.3">
      <c r="A50" s="21"/>
      <c r="B50" s="21"/>
      <c r="C50" s="415"/>
      <c r="D50" s="34" t="s">
        <v>448</v>
      </c>
      <c r="E50" s="31"/>
      <c r="F50" s="405" t="s">
        <v>320</v>
      </c>
      <c r="G50" s="405"/>
      <c r="H50" s="405"/>
      <c r="I50" s="405"/>
      <c r="J50" s="405"/>
      <c r="K50" s="18"/>
      <c r="L50" s="18"/>
    </row>
    <row r="51" spans="1:12" ht="18.75" customHeight="1" x14ac:dyDescent="0.3">
      <c r="A51" s="18"/>
      <c r="B51" s="18"/>
      <c r="C51" s="415"/>
      <c r="D51" s="39" t="s">
        <v>26</v>
      </c>
      <c r="E51" s="40"/>
      <c r="F51" s="41"/>
      <c r="G51" s="42"/>
      <c r="H51" s="43"/>
      <c r="I51" s="43"/>
      <c r="J51" s="44">
        <f>J5+J12+J48</f>
        <v>167341837</v>
      </c>
      <c r="K51" s="18"/>
      <c r="L51" s="18"/>
    </row>
    <row r="52" spans="1:12" ht="18.75" x14ac:dyDescent="0.3">
      <c r="A52" s="18"/>
      <c r="B52" s="18"/>
      <c r="C52" s="415"/>
      <c r="D52" s="19" t="s">
        <v>27</v>
      </c>
      <c r="E52" s="31"/>
      <c r="F52" s="45"/>
      <c r="G52" s="37"/>
      <c r="H52" s="37"/>
      <c r="I52" s="37"/>
      <c r="J52" s="33">
        <f>J54</f>
        <v>8000000</v>
      </c>
      <c r="K52" s="18"/>
      <c r="L52" s="18"/>
    </row>
    <row r="53" spans="1:12" ht="56.25" x14ac:dyDescent="0.3">
      <c r="A53" s="18"/>
      <c r="B53" s="18"/>
      <c r="C53" s="415"/>
      <c r="D53" s="46" t="s">
        <v>28</v>
      </c>
      <c r="E53" s="31"/>
      <c r="F53" s="45"/>
      <c r="G53" s="37"/>
      <c r="H53" s="37"/>
      <c r="I53" s="37"/>
      <c r="J53" s="33"/>
      <c r="K53" s="18"/>
      <c r="L53" s="18"/>
    </row>
    <row r="54" spans="1:12" ht="180.75" customHeight="1" x14ac:dyDescent="0.3">
      <c r="A54" s="18"/>
      <c r="B54" s="18"/>
      <c r="C54" s="415"/>
      <c r="D54" s="47" t="s">
        <v>29</v>
      </c>
      <c r="E54" s="40" t="s">
        <v>30</v>
      </c>
      <c r="F54" s="42">
        <v>1</v>
      </c>
      <c r="G54" s="28">
        <f>IF(J51*10%&gt;=8000000,8000000,IF(J51*10%&lt;=1000000,1000000,J51*10%))</f>
        <v>8000000</v>
      </c>
      <c r="H54" s="43"/>
      <c r="I54" s="43"/>
      <c r="J54" s="42">
        <f>F54*G54</f>
        <v>8000000</v>
      </c>
      <c r="K54" s="18"/>
      <c r="L54" s="18"/>
    </row>
    <row r="55" spans="1:12" ht="37.5" x14ac:dyDescent="0.3">
      <c r="A55" s="18"/>
      <c r="B55" s="18"/>
      <c r="C55" s="415"/>
      <c r="D55" s="39" t="s">
        <v>31</v>
      </c>
      <c r="E55" s="40"/>
      <c r="F55" s="42"/>
      <c r="G55" s="28"/>
      <c r="H55" s="43"/>
      <c r="I55" s="43"/>
      <c r="J55" s="42"/>
      <c r="K55" s="335">
        <f>J51+J52</f>
        <v>175341837</v>
      </c>
      <c r="L55" s="18"/>
    </row>
    <row r="56" spans="1:12" ht="18.75" x14ac:dyDescent="0.3">
      <c r="A56" s="204"/>
      <c r="B56" s="204"/>
      <c r="C56" s="215"/>
      <c r="D56" s="190" t="s">
        <v>32</v>
      </c>
      <c r="E56" s="50"/>
      <c r="F56" s="51"/>
      <c r="G56" s="52"/>
      <c r="H56" s="52"/>
      <c r="I56" s="52"/>
      <c r="J56" s="52"/>
      <c r="K56" s="52"/>
      <c r="L56" s="18"/>
    </row>
    <row r="57" spans="1:12" ht="93.75" x14ac:dyDescent="0.3">
      <c r="A57" s="216"/>
      <c r="B57" s="216"/>
      <c r="C57" s="217"/>
      <c r="D57" s="54" t="s">
        <v>33</v>
      </c>
      <c r="E57" s="55"/>
      <c r="F57" s="437" t="s">
        <v>34</v>
      </c>
      <c r="G57" s="437"/>
      <c r="H57" s="437"/>
      <c r="I57" s="437"/>
      <c r="J57" s="437"/>
      <c r="K57" s="56"/>
      <c r="L57" s="53"/>
    </row>
    <row r="58" spans="1:12" ht="18.75" x14ac:dyDescent="0.25">
      <c r="C58" s="191"/>
    </row>
    <row r="59" spans="1:12" ht="93.75" customHeight="1" x14ac:dyDescent="0.25">
      <c r="C59" s="191"/>
    </row>
    <row r="60" spans="1:12" ht="18.75" x14ac:dyDescent="0.25">
      <c r="C60" s="191"/>
    </row>
    <row r="61" spans="1:12" ht="18.75" x14ac:dyDescent="0.25">
      <c r="C61" s="191"/>
    </row>
    <row r="62" spans="1:12" ht="18.75" x14ac:dyDescent="0.25">
      <c r="C62" s="191"/>
    </row>
    <row r="63" spans="1:12" ht="18.75" x14ac:dyDescent="0.25">
      <c r="C63" s="191"/>
    </row>
    <row r="64" spans="1:12" ht="18.75" x14ac:dyDescent="0.25">
      <c r="C64" s="191"/>
    </row>
    <row r="65" spans="3:3" ht="18.75" x14ac:dyDescent="0.25">
      <c r="C65" s="191"/>
    </row>
    <row r="66" spans="3:3" ht="18.75" x14ac:dyDescent="0.25">
      <c r="C66" s="191"/>
    </row>
    <row r="67" spans="3:3" ht="18.75" x14ac:dyDescent="0.25">
      <c r="C67" s="191"/>
    </row>
    <row r="68" spans="3:3" ht="18.75" x14ac:dyDescent="0.25">
      <c r="C68" s="191"/>
    </row>
    <row r="69" spans="3:3" ht="18.75" x14ac:dyDescent="0.25">
      <c r="C69" s="191"/>
    </row>
    <row r="70" spans="3:3" ht="18.75" x14ac:dyDescent="0.25">
      <c r="C70" s="191"/>
    </row>
    <row r="71" spans="3:3" ht="18.75" x14ac:dyDescent="0.25">
      <c r="C71" s="191"/>
    </row>
    <row r="72" spans="3:3" ht="18.75" x14ac:dyDescent="0.25">
      <c r="C72" s="191"/>
    </row>
    <row r="73" spans="3:3" ht="18.75" x14ac:dyDescent="0.25">
      <c r="C73" s="191"/>
    </row>
    <row r="74" spans="3:3" ht="18.75" x14ac:dyDescent="0.25">
      <c r="C74" s="191"/>
    </row>
    <row r="75" spans="3:3" ht="18.75" x14ac:dyDescent="0.25">
      <c r="C75" s="191"/>
    </row>
    <row r="76" spans="3:3" ht="18.75" x14ac:dyDescent="0.25">
      <c r="C76" s="191"/>
    </row>
    <row r="77" spans="3:3" ht="18.75" x14ac:dyDescent="0.25">
      <c r="C77" s="191"/>
    </row>
  </sheetData>
  <mergeCells count="10">
    <mergeCell ref="C4:C55"/>
    <mergeCell ref="F49:J49"/>
    <mergeCell ref="F57:J57"/>
    <mergeCell ref="B5:B8"/>
    <mergeCell ref="D10:J10"/>
    <mergeCell ref="G11:J11"/>
    <mergeCell ref="D14:J14"/>
    <mergeCell ref="D30:J30"/>
    <mergeCell ref="F50:J50"/>
    <mergeCell ref="F27:J28"/>
  </mergeCells>
  <pageMargins left="0.7" right="0.7" top="0.75" bottom="0.75" header="0.3" footer="0.3"/>
  <pageSetup paperSize="9" scale="53" fitToHeight="0" orientation="landscape" r:id="rId1"/>
  <headerFooter>
    <oddFooter>&amp;C&amp;A/&amp;P-&amp;N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8"/>
  <sheetViews>
    <sheetView topLeftCell="A13" zoomScale="70" zoomScaleNormal="70" workbookViewId="0">
      <selection activeCell="G18" sqref="G18"/>
    </sheetView>
  </sheetViews>
  <sheetFormatPr defaultColWidth="9" defaultRowHeight="15" x14ac:dyDescent="0.25"/>
  <cols>
    <col min="1" max="1" width="4.85546875" style="99" customWidth="1"/>
    <col min="2" max="2" width="32.7109375" style="99" customWidth="1"/>
    <col min="3" max="3" width="55.5703125" style="99" customWidth="1"/>
    <col min="4" max="4" width="57.85546875" style="99" customWidth="1"/>
    <col min="5" max="5" width="7.7109375" style="99" customWidth="1"/>
    <col min="6" max="6" width="11.42578125" style="263" customWidth="1"/>
    <col min="7" max="7" width="13.140625" style="264" customWidth="1"/>
    <col min="8" max="8" width="7.7109375" style="99" customWidth="1"/>
    <col min="9" max="9" width="8.140625" style="99" customWidth="1"/>
    <col min="10" max="10" width="15.42578125" style="99" customWidth="1"/>
    <col min="11" max="11" width="18.140625" style="99" customWidth="1"/>
    <col min="12" max="12" width="8.28515625" style="99" customWidth="1"/>
    <col min="13" max="16384" width="9" style="99"/>
  </cols>
  <sheetData>
    <row r="1" spans="1:12" ht="18.75" x14ac:dyDescent="0.3">
      <c r="A1" s="1" t="s">
        <v>0</v>
      </c>
      <c r="B1" s="2"/>
      <c r="C1" s="3"/>
      <c r="D1" s="3"/>
      <c r="E1" s="3"/>
      <c r="F1" s="229"/>
      <c r="G1" s="230"/>
      <c r="H1" s="3"/>
      <c r="I1" s="3"/>
      <c r="J1" s="3"/>
      <c r="K1" s="2"/>
      <c r="L1" s="2"/>
    </row>
    <row r="2" spans="1:12" ht="61.5" customHeight="1" x14ac:dyDescent="0.25">
      <c r="A2" s="4" t="s">
        <v>1</v>
      </c>
      <c r="B2" s="5" t="s">
        <v>2</v>
      </c>
      <c r="C2" s="6" t="s">
        <v>3</v>
      </c>
      <c r="D2" s="6" t="s">
        <v>4</v>
      </c>
      <c r="E2" s="6" t="s">
        <v>5</v>
      </c>
      <c r="F2" s="7" t="s">
        <v>6</v>
      </c>
      <c r="G2" s="8" t="s">
        <v>7</v>
      </c>
      <c r="H2" s="9" t="s">
        <v>8</v>
      </c>
      <c r="I2" s="9" t="s">
        <v>9</v>
      </c>
      <c r="J2" s="8" t="s">
        <v>10</v>
      </c>
      <c r="K2" s="10" t="s">
        <v>11</v>
      </c>
      <c r="L2" s="10" t="s">
        <v>12</v>
      </c>
    </row>
    <row r="3" spans="1:12" ht="18.75" x14ac:dyDescent="0.25">
      <c r="A3" s="231">
        <v>1</v>
      </c>
      <c r="B3" s="232">
        <v>2</v>
      </c>
      <c r="C3" s="233">
        <v>3</v>
      </c>
      <c r="D3" s="234">
        <v>4</v>
      </c>
      <c r="E3" s="233">
        <v>5</v>
      </c>
      <c r="F3" s="233">
        <v>6</v>
      </c>
      <c r="G3" s="233">
        <v>7</v>
      </c>
      <c r="H3" s="233">
        <v>8</v>
      </c>
      <c r="I3" s="233">
        <v>9</v>
      </c>
      <c r="J3" s="232">
        <v>10</v>
      </c>
      <c r="K3" s="234">
        <v>11</v>
      </c>
      <c r="L3" s="14">
        <v>12</v>
      </c>
    </row>
    <row r="4" spans="1:12" ht="45" customHeight="1" x14ac:dyDescent="0.3">
      <c r="A4" s="15">
        <v>8</v>
      </c>
      <c r="B4" s="16" t="s">
        <v>452</v>
      </c>
      <c r="C4" s="438" t="s">
        <v>460</v>
      </c>
      <c r="D4" s="235"/>
      <c r="E4" s="83"/>
      <c r="F4" s="83"/>
      <c r="G4" s="236"/>
      <c r="H4" s="83"/>
      <c r="I4" s="83"/>
      <c r="J4" s="85"/>
      <c r="K4" s="237"/>
      <c r="L4" s="17"/>
    </row>
    <row r="5" spans="1:12" ht="18.75" customHeight="1" x14ac:dyDescent="0.3">
      <c r="A5" s="18"/>
      <c r="B5" s="390" t="s">
        <v>226</v>
      </c>
      <c r="C5" s="438"/>
      <c r="D5" s="82" t="s">
        <v>13</v>
      </c>
      <c r="E5" s="83"/>
      <c r="F5" s="83"/>
      <c r="G5" s="236"/>
      <c r="H5" s="83"/>
      <c r="I5" s="83"/>
      <c r="J5" s="85">
        <f>J11</f>
        <v>0</v>
      </c>
      <c r="K5" s="86"/>
      <c r="L5" s="18"/>
    </row>
    <row r="6" spans="1:12" ht="37.5" x14ac:dyDescent="0.3">
      <c r="A6" s="18"/>
      <c r="B6" s="390"/>
      <c r="C6" s="438"/>
      <c r="D6" s="19" t="s">
        <v>227</v>
      </c>
      <c r="E6" s="87" t="s">
        <v>14</v>
      </c>
      <c r="F6" s="201">
        <v>146.80000000000001</v>
      </c>
      <c r="G6" s="238"/>
      <c r="H6" s="90"/>
      <c r="I6" s="90"/>
      <c r="J6" s="89"/>
      <c r="K6" s="91"/>
      <c r="L6" s="18"/>
    </row>
    <row r="7" spans="1:12" ht="18.75" x14ac:dyDescent="0.3">
      <c r="A7" s="18"/>
      <c r="B7" s="390"/>
      <c r="C7" s="438"/>
      <c r="D7" s="95" t="s">
        <v>228</v>
      </c>
      <c r="E7" s="20" t="s">
        <v>14</v>
      </c>
      <c r="F7" s="202">
        <v>146.80000000000001</v>
      </c>
      <c r="G7" s="97"/>
      <c r="H7" s="90"/>
      <c r="I7" s="90"/>
      <c r="J7" s="89"/>
      <c r="K7" s="91"/>
      <c r="L7" s="18"/>
    </row>
    <row r="8" spans="1:12" ht="18.75" x14ac:dyDescent="0.3">
      <c r="A8" s="21"/>
      <c r="B8" s="390"/>
      <c r="C8" s="438"/>
      <c r="D8" s="95" t="s">
        <v>15</v>
      </c>
      <c r="E8" s="20" t="s">
        <v>14</v>
      </c>
      <c r="F8" s="202">
        <f>F6-F7</f>
        <v>0</v>
      </c>
      <c r="G8" s="238"/>
      <c r="H8" s="90"/>
      <c r="I8" s="90"/>
      <c r="J8" s="94"/>
      <c r="K8" s="91"/>
      <c r="L8" s="18"/>
    </row>
    <row r="9" spans="1:12" ht="18.75" x14ac:dyDescent="0.3">
      <c r="A9" s="21"/>
      <c r="B9" s="204"/>
      <c r="C9" s="438"/>
      <c r="D9" s="19" t="s">
        <v>222</v>
      </c>
      <c r="E9" s="87"/>
      <c r="F9" s="201"/>
      <c r="G9" s="238"/>
      <c r="H9" s="90"/>
      <c r="I9" s="90"/>
      <c r="J9" s="89"/>
      <c r="K9" s="91"/>
      <c r="L9" s="18"/>
    </row>
    <row r="10" spans="1:12" ht="117.75" customHeight="1" x14ac:dyDescent="0.3">
      <c r="A10" s="21"/>
      <c r="B10" s="65" t="s">
        <v>16</v>
      </c>
      <c r="C10" s="438"/>
      <c r="D10" s="391" t="s">
        <v>180</v>
      </c>
      <c r="E10" s="392"/>
      <c r="F10" s="392"/>
      <c r="G10" s="392"/>
      <c r="H10" s="392"/>
      <c r="I10" s="392"/>
      <c r="J10" s="393"/>
      <c r="K10" s="23"/>
      <c r="L10" s="18"/>
    </row>
    <row r="11" spans="1:12" ht="104.25" customHeight="1" x14ac:dyDescent="0.3">
      <c r="A11" s="21"/>
      <c r="B11" s="22" t="s">
        <v>229</v>
      </c>
      <c r="C11" s="438"/>
      <c r="D11" s="76" t="s">
        <v>59</v>
      </c>
      <c r="E11" s="20" t="s">
        <v>14</v>
      </c>
      <c r="F11" s="77">
        <f>F7</f>
        <v>146.80000000000001</v>
      </c>
      <c r="G11" s="401" t="s">
        <v>181</v>
      </c>
      <c r="H11" s="402"/>
      <c r="I11" s="402"/>
      <c r="J11" s="403"/>
      <c r="K11" s="23"/>
      <c r="L11" s="18"/>
    </row>
    <row r="12" spans="1:12" ht="18.75" customHeight="1" x14ac:dyDescent="0.3">
      <c r="A12" s="21"/>
      <c r="B12" s="204"/>
      <c r="C12" s="438"/>
      <c r="D12" s="19" t="s">
        <v>19</v>
      </c>
      <c r="E12" s="26"/>
      <c r="F12" s="38"/>
      <c r="G12" s="28"/>
      <c r="H12" s="25"/>
      <c r="I12" s="25"/>
      <c r="J12" s="98">
        <f>J13+J31+J34</f>
        <v>388550613</v>
      </c>
      <c r="K12" s="23"/>
      <c r="L12" s="18"/>
    </row>
    <row r="13" spans="1:12" ht="18.75" x14ac:dyDescent="0.3">
      <c r="A13" s="21"/>
      <c r="B13" s="66" t="s">
        <v>17</v>
      </c>
      <c r="C13" s="438"/>
      <c r="D13" s="19" t="s">
        <v>20</v>
      </c>
      <c r="E13" s="26"/>
      <c r="F13" s="38"/>
      <c r="G13" s="28"/>
      <c r="H13" s="25"/>
      <c r="I13" s="25"/>
      <c r="J13" s="98">
        <f>SUM(J15:J30)</f>
        <v>388216613</v>
      </c>
      <c r="K13" s="23"/>
      <c r="L13" s="23"/>
    </row>
    <row r="14" spans="1:12" ht="211.5" customHeight="1" x14ac:dyDescent="0.3">
      <c r="A14" s="21"/>
      <c r="B14" s="22" t="s">
        <v>18</v>
      </c>
      <c r="C14" s="438"/>
      <c r="D14" s="439" t="s">
        <v>230</v>
      </c>
      <c r="E14" s="439"/>
      <c r="F14" s="439"/>
      <c r="G14" s="439"/>
      <c r="H14" s="439"/>
      <c r="I14" s="439"/>
      <c r="J14" s="439"/>
      <c r="K14" s="239"/>
      <c r="L14" s="239"/>
    </row>
    <row r="15" spans="1:12" ht="57.75" customHeight="1" x14ac:dyDescent="0.3">
      <c r="A15" s="21"/>
      <c r="B15" s="21"/>
      <c r="C15" s="438"/>
      <c r="D15" s="108" t="s">
        <v>242</v>
      </c>
      <c r="E15" s="265" t="s">
        <v>244</v>
      </c>
      <c r="F15" s="240">
        <f>1.8*1.3</f>
        <v>2.3400000000000003</v>
      </c>
      <c r="G15" s="28">
        <f>2115140+(2115140*8.5%)</f>
        <v>2294926.9</v>
      </c>
      <c r="H15" s="107"/>
      <c r="I15" s="25">
        <v>0.7</v>
      </c>
      <c r="J15" s="24">
        <f>ROUND((F15*G15*I15),0)</f>
        <v>3759090</v>
      </c>
      <c r="K15" s="23"/>
      <c r="L15" s="23"/>
    </row>
    <row r="16" spans="1:12" ht="159.75" customHeight="1" x14ac:dyDescent="0.3">
      <c r="A16" s="21"/>
      <c r="B16" s="21"/>
      <c r="C16" s="438"/>
      <c r="D16" s="105" t="s">
        <v>243</v>
      </c>
      <c r="E16" s="107"/>
      <c r="F16" s="103"/>
      <c r="G16" s="106"/>
      <c r="H16" s="107"/>
      <c r="I16" s="107"/>
      <c r="J16" s="107"/>
      <c r="K16" s="23"/>
      <c r="L16" s="23"/>
    </row>
    <row r="17" spans="1:12" ht="78" customHeight="1" x14ac:dyDescent="0.3">
      <c r="A17" s="21"/>
      <c r="B17" s="21"/>
      <c r="C17" s="438"/>
      <c r="D17" s="100" t="s">
        <v>231</v>
      </c>
      <c r="E17" s="265" t="s">
        <v>244</v>
      </c>
      <c r="F17" s="26">
        <f>1.3*1.2</f>
        <v>1.56</v>
      </c>
      <c r="G17" s="28">
        <v>6960234</v>
      </c>
      <c r="H17" s="107"/>
      <c r="I17" s="25">
        <v>0.8</v>
      </c>
      <c r="J17" s="24">
        <f>ROUND((F17*G17*I17),0)</f>
        <v>8686372</v>
      </c>
      <c r="K17" s="23"/>
      <c r="L17" s="23"/>
    </row>
    <row r="18" spans="1:12" ht="60" customHeight="1" x14ac:dyDescent="0.3">
      <c r="A18" s="21"/>
      <c r="B18" s="21"/>
      <c r="C18" s="438"/>
      <c r="D18" s="105" t="s">
        <v>232</v>
      </c>
      <c r="E18" s="107"/>
      <c r="F18" s="103"/>
      <c r="G18" s="106"/>
      <c r="H18" s="107"/>
      <c r="I18" s="107"/>
      <c r="J18" s="107"/>
      <c r="K18" s="23"/>
      <c r="L18" s="23"/>
    </row>
    <row r="19" spans="1:12" ht="58.5" customHeight="1" x14ac:dyDescent="0.3">
      <c r="A19" s="21"/>
      <c r="B19" s="241"/>
      <c r="C19" s="438"/>
      <c r="D19" s="108" t="s">
        <v>245</v>
      </c>
      <c r="E19" s="265" t="s">
        <v>244</v>
      </c>
      <c r="F19" s="240">
        <f>(3.4*3.4)-(1.3*1.2)</f>
        <v>9.9999999999999982</v>
      </c>
      <c r="G19" s="28">
        <f>2115140+(2115140*8.5%)</f>
        <v>2294926.9</v>
      </c>
      <c r="H19" s="107"/>
      <c r="I19" s="25">
        <v>0.8</v>
      </c>
      <c r="J19" s="24">
        <f>ROUND((F19*G19*I19),0)</f>
        <v>18359415</v>
      </c>
      <c r="K19" s="23"/>
      <c r="L19" s="23"/>
    </row>
    <row r="20" spans="1:12" ht="157.5" customHeight="1" x14ac:dyDescent="0.3">
      <c r="A20" s="18"/>
      <c r="B20" s="18"/>
      <c r="C20" s="438"/>
      <c r="D20" s="105" t="s">
        <v>243</v>
      </c>
      <c r="E20" s="107"/>
      <c r="F20" s="103"/>
      <c r="G20" s="242"/>
      <c r="H20" s="107"/>
      <c r="I20" s="107"/>
      <c r="J20" s="107"/>
      <c r="K20" s="23"/>
      <c r="L20" s="23"/>
    </row>
    <row r="21" spans="1:12" ht="60" x14ac:dyDescent="0.3">
      <c r="A21" s="21"/>
      <c r="B21" s="18"/>
      <c r="C21" s="438"/>
      <c r="D21" s="100" t="s">
        <v>233</v>
      </c>
      <c r="E21" s="26" t="s">
        <v>14</v>
      </c>
      <c r="F21" s="240">
        <f>(1.6*1.3)+(0.9*7.2)+(3.4*1.7)+(2*4)+(3.4*0.8)</f>
        <v>25.06</v>
      </c>
      <c r="G21" s="28">
        <v>230583</v>
      </c>
      <c r="H21" s="25"/>
      <c r="I21" s="25">
        <v>0.8</v>
      </c>
      <c r="J21" s="24">
        <f>ROUND((F21*G21*I21),0)</f>
        <v>4622728</v>
      </c>
      <c r="K21" s="23"/>
      <c r="L21" s="23"/>
    </row>
    <row r="22" spans="1:12" ht="60" customHeight="1" x14ac:dyDescent="0.3">
      <c r="A22" s="21"/>
      <c r="B22" s="18"/>
      <c r="C22" s="438"/>
      <c r="D22" s="105" t="s">
        <v>45</v>
      </c>
      <c r="E22" s="26"/>
      <c r="F22" s="240"/>
      <c r="G22" s="28"/>
      <c r="H22" s="25"/>
      <c r="I22" s="25"/>
      <c r="J22" s="24"/>
      <c r="K22" s="23"/>
      <c r="L22" s="23"/>
    </row>
    <row r="23" spans="1:12" ht="37.5" x14ac:dyDescent="0.3">
      <c r="A23" s="18"/>
      <c r="B23" s="18"/>
      <c r="C23" s="438"/>
      <c r="D23" s="100" t="s">
        <v>234</v>
      </c>
      <c r="E23" s="26" t="s">
        <v>235</v>
      </c>
      <c r="F23" s="243">
        <f>(0.6+6.6)*0.2*0.2</f>
        <v>0.28799999999999998</v>
      </c>
      <c r="G23" s="28">
        <v>3096280</v>
      </c>
      <c r="H23" s="25"/>
      <c r="I23" s="25">
        <v>1</v>
      </c>
      <c r="J23" s="24">
        <f>ROUND((F23*G23*I23),0)</f>
        <v>891729</v>
      </c>
      <c r="K23" s="23"/>
      <c r="L23" s="23"/>
    </row>
    <row r="24" spans="1:12" ht="59.25" customHeight="1" x14ac:dyDescent="0.3">
      <c r="A24" s="18"/>
      <c r="B24" s="18"/>
      <c r="C24" s="438"/>
      <c r="D24" s="105" t="s">
        <v>236</v>
      </c>
      <c r="E24" s="26"/>
      <c r="F24" s="103"/>
      <c r="G24" s="106"/>
      <c r="H24" s="107"/>
      <c r="I24" s="107"/>
      <c r="J24" s="107"/>
      <c r="K24" s="23"/>
      <c r="L24" s="23"/>
    </row>
    <row r="25" spans="1:12" ht="75" x14ac:dyDescent="0.3">
      <c r="A25" s="18"/>
      <c r="B25" s="18"/>
      <c r="C25" s="438"/>
      <c r="D25" s="108" t="s">
        <v>453</v>
      </c>
      <c r="E25" s="26" t="s">
        <v>14</v>
      </c>
      <c r="F25" s="240">
        <f>9.9*8.44</f>
        <v>83.555999999999997</v>
      </c>
      <c r="G25" s="28">
        <f>3751000+338256+(3751000*8.5%)</f>
        <v>4408091</v>
      </c>
      <c r="H25" s="107"/>
      <c r="I25" s="25">
        <v>0.8</v>
      </c>
      <c r="J25" s="24">
        <f>ROUND((F25*G25*I25),0)</f>
        <v>294657961</v>
      </c>
      <c r="K25" s="23"/>
      <c r="L25" s="23"/>
    </row>
    <row r="26" spans="1:12" ht="225" x14ac:dyDescent="0.3">
      <c r="A26" s="18"/>
      <c r="B26" s="18"/>
      <c r="C26" s="438"/>
      <c r="D26" s="105" t="s">
        <v>246</v>
      </c>
      <c r="E26" s="107"/>
      <c r="F26" s="103"/>
      <c r="G26" s="106"/>
      <c r="H26" s="107"/>
      <c r="I26" s="107"/>
      <c r="J26" s="107"/>
      <c r="K26" s="23"/>
      <c r="L26" s="23"/>
    </row>
    <row r="27" spans="1:12" ht="37.5" x14ac:dyDescent="0.3">
      <c r="A27" s="18"/>
      <c r="B27" s="18"/>
      <c r="C27" s="438"/>
      <c r="D27" s="108" t="s">
        <v>247</v>
      </c>
      <c r="E27" s="26" t="s">
        <v>14</v>
      </c>
      <c r="F27" s="240">
        <f>3.1*8.44</f>
        <v>26.163999999999998</v>
      </c>
      <c r="G27" s="28">
        <v>1259097</v>
      </c>
      <c r="H27" s="107"/>
      <c r="I27" s="25">
        <v>0.8</v>
      </c>
      <c r="J27" s="24">
        <f>ROUND((F27*G27*I27),0)</f>
        <v>26354411</v>
      </c>
      <c r="K27" s="23"/>
      <c r="L27" s="23"/>
    </row>
    <row r="28" spans="1:12" ht="60.75" customHeight="1" x14ac:dyDescent="0.3">
      <c r="A28" s="18"/>
      <c r="B28" s="18"/>
      <c r="C28" s="438"/>
      <c r="D28" s="105" t="s">
        <v>237</v>
      </c>
      <c r="E28" s="107"/>
      <c r="F28" s="103"/>
      <c r="G28" s="106"/>
      <c r="H28" s="107"/>
      <c r="I28" s="107"/>
      <c r="J28" s="107"/>
      <c r="K28" s="23"/>
      <c r="L28" s="23"/>
    </row>
    <row r="29" spans="1:12" ht="37.5" x14ac:dyDescent="0.3">
      <c r="A29" s="18"/>
      <c r="B29" s="18"/>
      <c r="C29" s="438"/>
      <c r="D29" s="108" t="s">
        <v>454</v>
      </c>
      <c r="E29" s="26" t="s">
        <v>14</v>
      </c>
      <c r="F29" s="240">
        <f>2.4*3.6</f>
        <v>8.64</v>
      </c>
      <c r="G29" s="28">
        <v>3574642</v>
      </c>
      <c r="H29" s="107"/>
      <c r="I29" s="25">
        <v>1</v>
      </c>
      <c r="J29" s="24">
        <f>ROUND((F29*G29*I29),0)</f>
        <v>30884907</v>
      </c>
      <c r="K29" s="23"/>
      <c r="L29" s="23"/>
    </row>
    <row r="30" spans="1:12" ht="75" x14ac:dyDescent="0.3">
      <c r="A30" s="18"/>
      <c r="B30" s="18"/>
      <c r="C30" s="438"/>
      <c r="D30" s="105" t="s">
        <v>238</v>
      </c>
      <c r="E30" s="107"/>
      <c r="F30" s="103"/>
      <c r="G30" s="106"/>
      <c r="H30" s="107"/>
      <c r="I30" s="107"/>
      <c r="J30" s="107"/>
      <c r="K30" s="23"/>
      <c r="L30" s="23"/>
    </row>
    <row r="31" spans="1:12" ht="18.75" x14ac:dyDescent="0.3">
      <c r="A31" s="18"/>
      <c r="B31" s="18"/>
      <c r="C31" s="438"/>
      <c r="D31" s="19" t="s">
        <v>133</v>
      </c>
      <c r="E31" s="26"/>
      <c r="F31" s="38"/>
      <c r="G31" s="28"/>
      <c r="H31" s="25"/>
      <c r="I31" s="25"/>
      <c r="J31" s="98">
        <f>SUM(J32:J33)</f>
        <v>0</v>
      </c>
      <c r="K31" s="23"/>
      <c r="L31" s="23"/>
    </row>
    <row r="32" spans="1:12" ht="18.75" x14ac:dyDescent="0.3">
      <c r="A32" s="18"/>
      <c r="B32" s="18"/>
      <c r="C32" s="438"/>
      <c r="D32" s="108" t="s">
        <v>239</v>
      </c>
      <c r="E32" s="26"/>
      <c r="F32" s="419" t="s">
        <v>466</v>
      </c>
      <c r="G32" s="420"/>
      <c r="H32" s="420"/>
      <c r="I32" s="420"/>
      <c r="J32" s="421"/>
      <c r="K32" s="23"/>
      <c r="L32" s="23"/>
    </row>
    <row r="33" spans="1:12" s="245" customFormat="1" ht="18.75" x14ac:dyDescent="0.3">
      <c r="A33" s="18"/>
      <c r="B33" s="18"/>
      <c r="C33" s="438"/>
      <c r="D33" s="108" t="s">
        <v>240</v>
      </c>
      <c r="E33" s="26"/>
      <c r="F33" s="422"/>
      <c r="G33" s="423"/>
      <c r="H33" s="423"/>
      <c r="I33" s="423"/>
      <c r="J33" s="424"/>
      <c r="K33" s="23"/>
      <c r="L33" s="23"/>
    </row>
    <row r="34" spans="1:12" ht="18.75" x14ac:dyDescent="0.3">
      <c r="A34" s="18"/>
      <c r="B34" s="18"/>
      <c r="C34" s="438"/>
      <c r="D34" s="19" t="s">
        <v>23</v>
      </c>
      <c r="E34" s="26"/>
      <c r="F34" s="38"/>
      <c r="G34" s="28"/>
      <c r="H34" s="25"/>
      <c r="I34" s="25"/>
      <c r="J34" s="98">
        <f>SUM(J36:J37)</f>
        <v>334000</v>
      </c>
      <c r="K34" s="67"/>
      <c r="L34" s="67"/>
    </row>
    <row r="35" spans="1:12" ht="107.25" customHeight="1" x14ac:dyDescent="0.3">
      <c r="A35" s="18"/>
      <c r="B35" s="18"/>
      <c r="C35" s="438"/>
      <c r="D35" s="440" t="s">
        <v>241</v>
      </c>
      <c r="E35" s="441"/>
      <c r="F35" s="441"/>
      <c r="G35" s="441"/>
      <c r="H35" s="441"/>
      <c r="I35" s="441"/>
      <c r="J35" s="442"/>
      <c r="K35" s="247"/>
      <c r="L35" s="248"/>
    </row>
    <row r="36" spans="1:12" ht="37.5" customHeight="1" x14ac:dyDescent="0.3">
      <c r="A36" s="18"/>
      <c r="B36" s="48"/>
      <c r="C36" s="438"/>
      <c r="D36" s="69" t="s">
        <v>249</v>
      </c>
      <c r="E36" s="26" t="s">
        <v>24</v>
      </c>
      <c r="F36" s="249">
        <v>2</v>
      </c>
      <c r="G36" s="113">
        <v>53000</v>
      </c>
      <c r="H36" s="114"/>
      <c r="I36" s="25">
        <v>1</v>
      </c>
      <c r="J36" s="24">
        <f t="shared" ref="J36" si="0">ROUND((F36*G36*I36),0)</f>
        <v>106000</v>
      </c>
      <c r="K36" s="67"/>
      <c r="L36" s="67"/>
    </row>
    <row r="37" spans="1:12" ht="37.5" customHeight="1" x14ac:dyDescent="0.3">
      <c r="A37" s="18"/>
      <c r="B37" s="18"/>
      <c r="C37" s="438"/>
      <c r="D37" s="69" t="s">
        <v>248</v>
      </c>
      <c r="E37" s="26" t="s">
        <v>24</v>
      </c>
      <c r="F37" s="249">
        <v>1</v>
      </c>
      <c r="G37" s="113">
        <v>228000</v>
      </c>
      <c r="H37" s="114"/>
      <c r="I37" s="25">
        <v>1</v>
      </c>
      <c r="J37" s="24">
        <f t="shared" ref="J37" si="1">ROUND((F37*G37*I37),0)</f>
        <v>228000</v>
      </c>
      <c r="K37" s="67"/>
      <c r="L37" s="67"/>
    </row>
    <row r="38" spans="1:12" ht="18.75" x14ac:dyDescent="0.3">
      <c r="A38" s="18"/>
      <c r="B38" s="18"/>
      <c r="C38" s="438"/>
      <c r="D38" s="19" t="s">
        <v>25</v>
      </c>
      <c r="E38" s="26"/>
      <c r="F38" s="38"/>
      <c r="G38" s="250"/>
      <c r="H38" s="187"/>
      <c r="I38" s="187"/>
      <c r="J38" s="29">
        <v>0</v>
      </c>
      <c r="K38" s="67"/>
      <c r="L38" s="67"/>
    </row>
    <row r="39" spans="1:12" ht="18.75" x14ac:dyDescent="0.3">
      <c r="A39" s="18"/>
      <c r="B39" s="204"/>
      <c r="C39" s="438"/>
      <c r="D39" s="30" t="s">
        <v>37</v>
      </c>
      <c r="E39" s="31"/>
      <c r="F39" s="251"/>
      <c r="G39" s="188"/>
      <c r="H39" s="189"/>
      <c r="I39" s="189"/>
      <c r="J39" s="29">
        <f>SUM(J40:J41)</f>
        <v>0</v>
      </c>
      <c r="K39" s="67"/>
      <c r="L39" s="67"/>
    </row>
    <row r="40" spans="1:12" ht="137.25" customHeight="1" x14ac:dyDescent="0.25">
      <c r="A40" s="204"/>
      <c r="B40" s="204"/>
      <c r="C40" s="438"/>
      <c r="D40" s="68" t="s">
        <v>462</v>
      </c>
      <c r="E40" s="31"/>
      <c r="F40" s="404" t="s">
        <v>319</v>
      </c>
      <c r="G40" s="404"/>
      <c r="H40" s="404"/>
      <c r="I40" s="404"/>
      <c r="J40" s="404"/>
      <c r="K40" s="67"/>
      <c r="L40" s="67"/>
    </row>
    <row r="41" spans="1:12" ht="137.25" customHeight="1" x14ac:dyDescent="0.25">
      <c r="A41" s="204"/>
      <c r="B41" s="204"/>
      <c r="C41" s="438"/>
      <c r="D41" s="34" t="s">
        <v>463</v>
      </c>
      <c r="E41" s="253"/>
      <c r="F41" s="405" t="s">
        <v>320</v>
      </c>
      <c r="G41" s="405"/>
      <c r="H41" s="405"/>
      <c r="I41" s="405"/>
      <c r="J41" s="405"/>
      <c r="K41" s="252"/>
      <c r="L41" s="67"/>
    </row>
    <row r="42" spans="1:12" ht="18.75" x14ac:dyDescent="0.25">
      <c r="A42" s="204"/>
      <c r="B42" s="204"/>
      <c r="C42" s="438"/>
      <c r="D42" s="39" t="s">
        <v>26</v>
      </c>
      <c r="E42" s="40"/>
      <c r="F42" s="254"/>
      <c r="G42" s="42"/>
      <c r="H42" s="43"/>
      <c r="I42" s="43"/>
      <c r="J42" s="44">
        <f>J5+J12+J39</f>
        <v>388550613</v>
      </c>
      <c r="K42" s="252"/>
      <c r="L42" s="204"/>
    </row>
    <row r="43" spans="1:12" ht="18.75" x14ac:dyDescent="0.25">
      <c r="A43" s="204"/>
      <c r="B43" s="204"/>
      <c r="C43" s="438"/>
      <c r="D43" s="19" t="s">
        <v>27</v>
      </c>
      <c r="E43" s="31"/>
      <c r="F43" s="45"/>
      <c r="G43" s="255"/>
      <c r="H43" s="37"/>
      <c r="I43" s="37"/>
      <c r="J43" s="33">
        <f>J45</f>
        <v>8000000</v>
      </c>
      <c r="K43" s="252"/>
      <c r="L43" s="204"/>
    </row>
    <row r="44" spans="1:12" ht="37.5" x14ac:dyDescent="0.25">
      <c r="A44" s="204"/>
      <c r="B44" s="204"/>
      <c r="C44" s="438"/>
      <c r="D44" s="46" t="s">
        <v>28</v>
      </c>
      <c r="E44" s="31"/>
      <c r="F44" s="45"/>
      <c r="G44" s="255"/>
      <c r="H44" s="37"/>
      <c r="I44" s="37"/>
      <c r="J44" s="33"/>
      <c r="K44" s="252"/>
      <c r="L44" s="204"/>
    </row>
    <row r="45" spans="1:12" ht="168.75" x14ac:dyDescent="0.25">
      <c r="A45" s="204"/>
      <c r="B45" s="204"/>
      <c r="C45" s="438"/>
      <c r="D45" s="47" t="s">
        <v>29</v>
      </c>
      <c r="E45" s="40" t="s">
        <v>30</v>
      </c>
      <c r="F45" s="256">
        <v>1</v>
      </c>
      <c r="G45" s="28">
        <f>IF(J42*10%&gt;=8000000,8000000,IF(J42*10%&lt;=1000000,1000000,J42*10%))</f>
        <v>8000000</v>
      </c>
      <c r="H45" s="43"/>
      <c r="I45" s="43"/>
      <c r="J45" s="42">
        <f>F45*G45</f>
        <v>8000000</v>
      </c>
      <c r="K45" s="33">
        <f>J42+J43</f>
        <v>396550613</v>
      </c>
      <c r="L45" s="204"/>
    </row>
    <row r="46" spans="1:12" ht="37.5" x14ac:dyDescent="0.25">
      <c r="A46" s="204"/>
      <c r="B46" s="204"/>
      <c r="C46" s="438"/>
      <c r="D46" s="39" t="s">
        <v>31</v>
      </c>
      <c r="E46" s="40"/>
      <c r="F46" s="256"/>
      <c r="G46" s="28"/>
      <c r="H46" s="43"/>
      <c r="I46" s="43"/>
      <c r="J46" s="42"/>
      <c r="K46" s="252"/>
      <c r="L46" s="204"/>
    </row>
    <row r="47" spans="1:12" ht="16.5" x14ac:dyDescent="0.25">
      <c r="A47" s="204"/>
      <c r="B47" s="204"/>
      <c r="C47" s="438"/>
      <c r="D47" s="257" t="s">
        <v>32</v>
      </c>
      <c r="E47" s="258"/>
      <c r="F47" s="259"/>
      <c r="G47" s="260"/>
      <c r="H47" s="257"/>
      <c r="I47" s="257"/>
      <c r="J47" s="257"/>
      <c r="K47" s="261"/>
      <c r="L47" s="216"/>
    </row>
    <row r="48" spans="1:12" ht="90" customHeight="1" x14ac:dyDescent="0.25">
      <c r="A48" s="216"/>
      <c r="B48" s="216"/>
      <c r="C48" s="438"/>
      <c r="D48" s="54" t="s">
        <v>33</v>
      </c>
      <c r="E48" s="55"/>
      <c r="F48" s="425" t="s">
        <v>34</v>
      </c>
      <c r="G48" s="426"/>
      <c r="H48" s="426"/>
      <c r="I48" s="426"/>
      <c r="J48" s="427"/>
      <c r="K48" s="262"/>
      <c r="L48" s="262"/>
    </row>
  </sheetData>
  <mergeCells count="10">
    <mergeCell ref="G11:J11"/>
    <mergeCell ref="C4:C48"/>
    <mergeCell ref="B5:B8"/>
    <mergeCell ref="D10:J10"/>
    <mergeCell ref="D14:J14"/>
    <mergeCell ref="D35:J35"/>
    <mergeCell ref="F48:J48"/>
    <mergeCell ref="F40:J40"/>
    <mergeCell ref="F41:J41"/>
    <mergeCell ref="F32:J33"/>
  </mergeCells>
  <pageMargins left="0.7" right="0.7" top="0.75" bottom="0.75" header="0.3" footer="0.3"/>
  <pageSetup paperSize="9" scale="54" fitToHeight="0" orientation="landscape" r:id="rId1"/>
  <headerFooter>
    <oddFooter>&amp;C&amp;A/&amp;P-&amp;N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3"/>
  <sheetViews>
    <sheetView topLeftCell="A11" zoomScale="70" zoomScaleNormal="70" workbookViewId="0">
      <selection activeCell="D57" sqref="D57"/>
    </sheetView>
  </sheetViews>
  <sheetFormatPr defaultColWidth="9" defaultRowHeight="15" x14ac:dyDescent="0.25"/>
  <cols>
    <col min="1" max="1" width="4.85546875" style="99" customWidth="1"/>
    <col min="2" max="2" width="34.140625" style="99" customWidth="1"/>
    <col min="3" max="3" width="67.28515625" style="99" customWidth="1"/>
    <col min="4" max="4" width="56.42578125" style="99" customWidth="1"/>
    <col min="5" max="5" width="8.5703125" style="99" customWidth="1"/>
    <col min="6" max="6" width="9.42578125" style="99" customWidth="1"/>
    <col min="7" max="7" width="14.5703125" style="99" customWidth="1"/>
    <col min="8" max="8" width="7.42578125" style="99" customWidth="1"/>
    <col min="9" max="9" width="11" style="99" customWidth="1"/>
    <col min="10" max="10" width="19.85546875" style="99" customWidth="1"/>
    <col min="11" max="11" width="16"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75"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51" customHeight="1" x14ac:dyDescent="0.3">
      <c r="A4" s="15">
        <v>9</v>
      </c>
      <c r="B4" s="103" t="s">
        <v>455</v>
      </c>
      <c r="C4" s="414" t="s">
        <v>461</v>
      </c>
      <c r="D4" s="78"/>
      <c r="E4" s="79"/>
      <c r="F4" s="79"/>
      <c r="G4" s="79"/>
      <c r="H4" s="79"/>
      <c r="I4" s="79"/>
      <c r="J4" s="80"/>
      <c r="K4" s="81"/>
      <c r="L4" s="17"/>
    </row>
    <row r="5" spans="1:18" ht="18.75" x14ac:dyDescent="0.3">
      <c r="A5" s="18"/>
      <c r="B5" s="433" t="s">
        <v>270</v>
      </c>
      <c r="C5" s="415"/>
      <c r="D5" s="82" t="s">
        <v>13</v>
      </c>
      <c r="E5" s="83"/>
      <c r="F5" s="83"/>
      <c r="G5" s="83"/>
      <c r="H5" s="83"/>
      <c r="I5" s="83"/>
      <c r="J5" s="160">
        <f>J10</f>
        <v>0</v>
      </c>
      <c r="K5" s="333"/>
      <c r="L5" s="18"/>
    </row>
    <row r="6" spans="1:18" ht="37.5" x14ac:dyDescent="0.3">
      <c r="A6" s="18"/>
      <c r="B6" s="434"/>
      <c r="C6" s="415"/>
      <c r="D6" s="19" t="s">
        <v>269</v>
      </c>
      <c r="E6" s="87" t="s">
        <v>14</v>
      </c>
      <c r="F6" s="201">
        <v>454.9</v>
      </c>
      <c r="G6" s="89"/>
      <c r="H6" s="90"/>
      <c r="I6" s="90"/>
      <c r="J6" s="89"/>
      <c r="K6" s="334"/>
      <c r="L6" s="18"/>
    </row>
    <row r="7" spans="1:18" ht="18.75" x14ac:dyDescent="0.3">
      <c r="A7" s="18"/>
      <c r="B7" s="434"/>
      <c r="C7" s="415"/>
      <c r="D7" s="95" t="s">
        <v>192</v>
      </c>
      <c r="E7" s="20" t="s">
        <v>14</v>
      </c>
      <c r="F7" s="202">
        <f>290.8</f>
        <v>290.8</v>
      </c>
      <c r="G7" s="94"/>
      <c r="H7" s="90"/>
      <c r="I7" s="90"/>
      <c r="J7" s="89"/>
      <c r="K7" s="334"/>
      <c r="L7" s="18"/>
    </row>
    <row r="8" spans="1:18" ht="44.25" customHeight="1" x14ac:dyDescent="0.3">
      <c r="A8" s="21"/>
      <c r="B8" s="434"/>
      <c r="C8" s="415"/>
      <c r="D8" s="95" t="s">
        <v>15</v>
      </c>
      <c r="E8" s="20" t="s">
        <v>14</v>
      </c>
      <c r="F8" s="202">
        <f>164.1</f>
        <v>164.1</v>
      </c>
      <c r="G8" s="89"/>
      <c r="H8" s="90"/>
      <c r="I8" s="90"/>
      <c r="J8" s="94"/>
      <c r="K8" s="334"/>
      <c r="L8" s="18"/>
    </row>
    <row r="9" spans="1:18" ht="121.5" customHeight="1" x14ac:dyDescent="0.3">
      <c r="A9" s="21"/>
      <c r="B9" s="228" t="s">
        <v>251</v>
      </c>
      <c r="C9" s="415"/>
      <c r="D9" s="391" t="s">
        <v>180</v>
      </c>
      <c r="E9" s="392"/>
      <c r="F9" s="392"/>
      <c r="G9" s="392"/>
      <c r="H9" s="392"/>
      <c r="I9" s="392"/>
      <c r="J9" s="393"/>
      <c r="K9" s="18"/>
      <c r="L9" s="18"/>
    </row>
    <row r="10" spans="1:18" ht="90.75" customHeight="1" x14ac:dyDescent="0.3">
      <c r="A10" s="21"/>
      <c r="B10" s="65" t="s">
        <v>16</v>
      </c>
      <c r="C10" s="415"/>
      <c r="D10" s="76" t="s">
        <v>59</v>
      </c>
      <c r="E10" s="20" t="s">
        <v>14</v>
      </c>
      <c r="F10" s="77">
        <f>F7</f>
        <v>290.8</v>
      </c>
      <c r="G10" s="401" t="s">
        <v>181</v>
      </c>
      <c r="H10" s="402"/>
      <c r="I10" s="402"/>
      <c r="J10" s="403"/>
      <c r="K10" s="18"/>
      <c r="L10" s="18"/>
    </row>
    <row r="11" spans="1:18" ht="37.5" x14ac:dyDescent="0.3">
      <c r="A11" s="21"/>
      <c r="B11" s="269" t="s">
        <v>267</v>
      </c>
      <c r="C11" s="415"/>
      <c r="D11" s="19" t="s">
        <v>19</v>
      </c>
      <c r="E11" s="26"/>
      <c r="F11" s="27"/>
      <c r="G11" s="24"/>
      <c r="H11" s="25"/>
      <c r="I11" s="25"/>
      <c r="J11" s="98">
        <f>J12+J35+J36</f>
        <v>177154918</v>
      </c>
      <c r="K11" s="18"/>
      <c r="L11" s="18"/>
    </row>
    <row r="12" spans="1:18" ht="18.75" x14ac:dyDescent="0.3">
      <c r="A12" s="21"/>
      <c r="B12" s="270" t="s">
        <v>268</v>
      </c>
      <c r="C12" s="415"/>
      <c r="D12" s="19" t="s">
        <v>20</v>
      </c>
      <c r="E12" s="26"/>
      <c r="F12" s="27"/>
      <c r="G12" s="24"/>
      <c r="H12" s="25"/>
      <c r="I12" s="25"/>
      <c r="J12" s="98">
        <f>SUM(J14:J34)</f>
        <v>171177918</v>
      </c>
      <c r="K12" s="18"/>
      <c r="L12" s="18"/>
    </row>
    <row r="13" spans="1:18" ht="219.75" customHeight="1" x14ac:dyDescent="0.3">
      <c r="A13" s="21"/>
      <c r="B13" s="269" t="s">
        <v>18</v>
      </c>
      <c r="C13" s="415"/>
      <c r="D13" s="394" t="s">
        <v>122</v>
      </c>
      <c r="E13" s="395"/>
      <c r="F13" s="395"/>
      <c r="G13" s="395"/>
      <c r="H13" s="395"/>
      <c r="I13" s="395"/>
      <c r="J13" s="396"/>
      <c r="K13" s="18"/>
      <c r="L13" s="18"/>
    </row>
    <row r="14" spans="1:18" ht="135" customHeight="1" x14ac:dyDescent="0.3">
      <c r="A14" s="21"/>
      <c r="B14" s="227"/>
      <c r="C14" s="415"/>
      <c r="D14" s="168" t="s">
        <v>301</v>
      </c>
      <c r="E14" s="26" t="s">
        <v>21</v>
      </c>
      <c r="F14" s="267">
        <v>33.700000000000003</v>
      </c>
      <c r="G14" s="170">
        <f>(3751000 *1.12)+ 481600+(3751000*8.5%)</f>
        <v>5001555</v>
      </c>
      <c r="H14" s="171"/>
      <c r="I14" s="172">
        <v>0.8</v>
      </c>
      <c r="J14" s="173">
        <f>ROUND((F14*G14*I14),0)</f>
        <v>134841923</v>
      </c>
      <c r="K14" s="181"/>
      <c r="L14" s="181"/>
      <c r="R14" s="99" t="s">
        <v>125</v>
      </c>
    </row>
    <row r="15" spans="1:18" ht="202.5" customHeight="1" x14ac:dyDescent="0.3">
      <c r="A15" s="21"/>
      <c r="B15" s="271"/>
      <c r="C15" s="415"/>
      <c r="D15" s="272" t="s">
        <v>272</v>
      </c>
      <c r="E15" s="26"/>
      <c r="F15" s="267"/>
      <c r="G15" s="170"/>
      <c r="H15" s="171"/>
      <c r="I15" s="172"/>
      <c r="J15" s="173"/>
      <c r="K15" s="181"/>
      <c r="L15" s="181"/>
    </row>
    <row r="16" spans="1:18" ht="294.75" customHeight="1" x14ac:dyDescent="0.3">
      <c r="A16" s="21"/>
      <c r="C16" s="415"/>
      <c r="D16" s="105" t="s">
        <v>302</v>
      </c>
      <c r="E16" s="26"/>
      <c r="F16" s="213"/>
      <c r="G16" s="170"/>
      <c r="H16" s="171"/>
      <c r="I16" s="172"/>
      <c r="J16" s="173"/>
      <c r="K16" s="181"/>
      <c r="L16" s="181"/>
    </row>
    <row r="17" spans="1:12" ht="78.75" x14ac:dyDescent="0.3">
      <c r="A17" s="21"/>
      <c r="B17" s="227"/>
      <c r="C17" s="415"/>
      <c r="D17" s="168" t="s">
        <v>252</v>
      </c>
      <c r="E17" s="26" t="s">
        <v>14</v>
      </c>
      <c r="F17" s="267">
        <f>1.2*(0.75+2.1+2.75+0.35+5.2+2.4+2.7+1.6+3)</f>
        <v>25.02</v>
      </c>
      <c r="G17" s="170">
        <v>401056</v>
      </c>
      <c r="H17" s="171"/>
      <c r="I17" s="172">
        <v>0.8</v>
      </c>
      <c r="J17" s="173">
        <f>ROUND((F17*G17*I17),0)</f>
        <v>8027537</v>
      </c>
      <c r="K17" s="181"/>
      <c r="L17" s="181"/>
    </row>
    <row r="18" spans="1:12" ht="59.25" customHeight="1" x14ac:dyDescent="0.3">
      <c r="A18" s="21"/>
      <c r="B18" s="227"/>
      <c r="C18" s="415"/>
      <c r="D18" s="268" t="s">
        <v>253</v>
      </c>
      <c r="E18" s="26"/>
      <c r="F18" s="169"/>
      <c r="G18" s="170"/>
      <c r="H18" s="171"/>
      <c r="I18" s="172"/>
      <c r="J18" s="173"/>
      <c r="K18" s="181"/>
      <c r="L18" s="181"/>
    </row>
    <row r="19" spans="1:12" ht="27.75" customHeight="1" x14ac:dyDescent="0.3">
      <c r="A19" s="21"/>
      <c r="B19" s="227"/>
      <c r="C19" s="415"/>
      <c r="D19" s="168" t="s">
        <v>254</v>
      </c>
      <c r="E19" s="26" t="s">
        <v>21</v>
      </c>
      <c r="F19" s="267">
        <f>(4+1.2)*0.6</f>
        <v>3.12</v>
      </c>
      <c r="G19" s="170">
        <v>401056</v>
      </c>
      <c r="H19" s="171"/>
      <c r="I19" s="172">
        <v>0.8</v>
      </c>
      <c r="J19" s="173">
        <f>ROUND((F19*G19*I19),0)</f>
        <v>1001036</v>
      </c>
      <c r="K19" s="181"/>
      <c r="L19" s="181"/>
    </row>
    <row r="20" spans="1:12" ht="66.75" customHeight="1" x14ac:dyDescent="0.3">
      <c r="A20" s="21"/>
      <c r="B20" s="227"/>
      <c r="C20" s="415"/>
      <c r="D20" s="268" t="s">
        <v>253</v>
      </c>
      <c r="E20" s="26"/>
      <c r="F20" s="169"/>
      <c r="G20" s="170"/>
      <c r="H20" s="171"/>
      <c r="I20" s="172"/>
      <c r="J20" s="173"/>
      <c r="K20" s="181"/>
      <c r="L20" s="181"/>
    </row>
    <row r="21" spans="1:12" ht="33.75" customHeight="1" x14ac:dyDescent="0.3">
      <c r="A21" s="21"/>
      <c r="B21" s="227"/>
      <c r="C21" s="415"/>
      <c r="D21" s="168" t="s">
        <v>273</v>
      </c>
      <c r="E21" s="26" t="s">
        <v>21</v>
      </c>
      <c r="F21" s="267">
        <f>(3.6+1.8)*1.2</f>
        <v>6.48</v>
      </c>
      <c r="G21" s="170">
        <v>401056</v>
      </c>
      <c r="H21" s="171"/>
      <c r="I21" s="172">
        <v>0.8</v>
      </c>
      <c r="J21" s="173">
        <f>ROUND((F21*G21*I21),0)</f>
        <v>2079074</v>
      </c>
      <c r="K21" s="181"/>
      <c r="L21" s="181"/>
    </row>
    <row r="22" spans="1:12" ht="56.25" customHeight="1" x14ac:dyDescent="0.3">
      <c r="A22" s="21"/>
      <c r="B22" s="227"/>
      <c r="C22" s="415"/>
      <c r="D22" s="268" t="s">
        <v>253</v>
      </c>
      <c r="E22" s="26"/>
      <c r="F22" s="169"/>
      <c r="G22" s="170"/>
      <c r="H22" s="171"/>
      <c r="I22" s="172"/>
      <c r="J22" s="173"/>
      <c r="K22" s="181"/>
      <c r="L22" s="181"/>
    </row>
    <row r="23" spans="1:12" ht="82.5" x14ac:dyDescent="0.3">
      <c r="A23" s="21"/>
      <c r="B23" s="227"/>
      <c r="C23" s="415"/>
      <c r="D23" s="176" t="s">
        <v>456</v>
      </c>
      <c r="E23" s="26" t="s">
        <v>21</v>
      </c>
      <c r="F23" s="169">
        <v>2.74</v>
      </c>
      <c r="G23" s="170">
        <f>(741439-(741439*8.5%))</f>
        <v>678416.68500000006</v>
      </c>
      <c r="H23" s="171"/>
      <c r="I23" s="172">
        <v>0.7</v>
      </c>
      <c r="J23" s="173">
        <f>ROUND((F23*G23*I23),0)</f>
        <v>1301203</v>
      </c>
      <c r="K23" s="181"/>
      <c r="L23" s="181"/>
    </row>
    <row r="24" spans="1:12" ht="150" x14ac:dyDescent="0.3">
      <c r="A24" s="21"/>
      <c r="B24" s="227"/>
      <c r="C24" s="415"/>
      <c r="D24" s="110" t="s">
        <v>274</v>
      </c>
      <c r="E24" s="26"/>
      <c r="F24" s="169"/>
      <c r="G24" s="170"/>
      <c r="H24" s="171"/>
      <c r="I24" s="172"/>
      <c r="J24" s="173"/>
      <c r="K24" s="181"/>
      <c r="L24" s="181"/>
    </row>
    <row r="25" spans="1:12" ht="56.25" x14ac:dyDescent="0.3">
      <c r="A25" s="21"/>
      <c r="B25" s="227"/>
      <c r="C25" s="415"/>
      <c r="D25" s="176" t="s">
        <v>457</v>
      </c>
      <c r="E25" s="26" t="s">
        <v>21</v>
      </c>
      <c r="F25" s="169">
        <f>1.7*4</f>
        <v>6.8</v>
      </c>
      <c r="G25" s="170">
        <v>741439</v>
      </c>
      <c r="H25" s="171"/>
      <c r="I25" s="172">
        <v>0.7</v>
      </c>
      <c r="J25" s="173">
        <f t="shared" ref="J25" si="0">ROUND((F25*G25*I25),0)</f>
        <v>3529250</v>
      </c>
      <c r="K25" s="181"/>
      <c r="L25" s="181"/>
    </row>
    <row r="26" spans="1:12" ht="75" x14ac:dyDescent="0.3">
      <c r="A26" s="21"/>
      <c r="B26" s="227"/>
      <c r="C26" s="415"/>
      <c r="D26" s="110" t="s">
        <v>275</v>
      </c>
      <c r="E26" s="26"/>
      <c r="F26" s="169"/>
      <c r="G26" s="170"/>
      <c r="H26" s="171"/>
      <c r="I26" s="172"/>
      <c r="J26" s="173"/>
      <c r="K26" s="181"/>
      <c r="L26" s="181"/>
    </row>
    <row r="27" spans="1:12" ht="56.25" x14ac:dyDescent="0.3">
      <c r="A27" s="21"/>
      <c r="B27" s="227"/>
      <c r="C27" s="415"/>
      <c r="D27" s="176" t="s">
        <v>458</v>
      </c>
      <c r="E27" s="26" t="s">
        <v>21</v>
      </c>
      <c r="F27" s="169">
        <f>1.5*2.9</f>
        <v>4.3499999999999996</v>
      </c>
      <c r="G27" s="170">
        <v>741439</v>
      </c>
      <c r="H27" s="171"/>
      <c r="I27" s="172">
        <v>0.7</v>
      </c>
      <c r="J27" s="173">
        <f t="shared" ref="J27" si="1">ROUND((F27*G27*I27),0)</f>
        <v>2257682</v>
      </c>
      <c r="K27" s="181"/>
      <c r="L27" s="181"/>
    </row>
    <row r="28" spans="1:12" ht="75" x14ac:dyDescent="0.3">
      <c r="A28" s="21"/>
      <c r="B28" s="227"/>
      <c r="C28" s="415"/>
      <c r="D28" s="110" t="s">
        <v>275</v>
      </c>
      <c r="E28" s="26"/>
      <c r="F28" s="169"/>
      <c r="G28" s="170"/>
      <c r="H28" s="171"/>
      <c r="I28" s="172"/>
      <c r="J28" s="173"/>
      <c r="K28" s="181"/>
      <c r="L28" s="181"/>
    </row>
    <row r="29" spans="1:12" ht="47.25" customHeight="1" x14ac:dyDescent="0.3">
      <c r="A29" s="21"/>
      <c r="B29" s="227"/>
      <c r="C29" s="415"/>
      <c r="D29" s="105" t="s">
        <v>459</v>
      </c>
      <c r="E29" s="26" t="s">
        <v>255</v>
      </c>
      <c r="F29" s="169">
        <f>((4.4*2)+(2.9*2))*0.4*0.2</f>
        <v>1.1680000000000001</v>
      </c>
      <c r="G29" s="170">
        <v>3096280</v>
      </c>
      <c r="H29" s="171"/>
      <c r="I29" s="172">
        <v>0.7</v>
      </c>
      <c r="J29" s="173">
        <f t="shared" ref="J29:J31" si="2">ROUND((F29*G29*I29),0)</f>
        <v>2531519</v>
      </c>
      <c r="K29" s="181"/>
      <c r="L29" s="181"/>
    </row>
    <row r="30" spans="1:12" ht="62.25" customHeight="1" x14ac:dyDescent="0.3">
      <c r="A30" s="21"/>
      <c r="B30" s="227"/>
      <c r="C30" s="415"/>
      <c r="D30" s="105" t="s">
        <v>256</v>
      </c>
      <c r="E30" s="26"/>
      <c r="F30" s="169"/>
      <c r="G30" s="170"/>
      <c r="H30" s="171"/>
      <c r="I30" s="172"/>
      <c r="J30" s="173"/>
      <c r="K30" s="181"/>
      <c r="L30" s="181"/>
    </row>
    <row r="31" spans="1:12" ht="60" x14ac:dyDescent="0.3">
      <c r="A31" s="21"/>
      <c r="B31" s="227"/>
      <c r="C31" s="415"/>
      <c r="D31" s="108" t="s">
        <v>271</v>
      </c>
      <c r="E31" s="26" t="s">
        <v>255</v>
      </c>
      <c r="F31" s="169">
        <f>0.3*0.65*6.6</f>
        <v>1.2869999999999999</v>
      </c>
      <c r="G31" s="170">
        <v>1501705</v>
      </c>
      <c r="H31" s="171"/>
      <c r="I31" s="172">
        <v>0.7</v>
      </c>
      <c r="J31" s="173">
        <f t="shared" si="2"/>
        <v>1352886</v>
      </c>
      <c r="K31" s="181"/>
      <c r="L31" s="181"/>
    </row>
    <row r="32" spans="1:12" ht="62.25" customHeight="1" x14ac:dyDescent="0.3">
      <c r="A32" s="21"/>
      <c r="B32" s="227"/>
      <c r="C32" s="415"/>
      <c r="D32" s="105" t="s">
        <v>257</v>
      </c>
      <c r="E32" s="26"/>
      <c r="F32" s="169"/>
      <c r="G32" s="170"/>
      <c r="H32" s="171"/>
      <c r="I32" s="172"/>
      <c r="J32" s="173"/>
      <c r="K32" s="181"/>
      <c r="L32" s="181"/>
    </row>
    <row r="33" spans="1:13" ht="23.25" customHeight="1" x14ac:dyDescent="0.3">
      <c r="A33" s="21"/>
      <c r="B33" s="227"/>
      <c r="C33" s="415"/>
      <c r="D33" s="176" t="s">
        <v>258</v>
      </c>
      <c r="E33" s="26" t="s">
        <v>132</v>
      </c>
      <c r="F33" s="169">
        <v>26.5</v>
      </c>
      <c r="G33" s="170">
        <v>537955</v>
      </c>
      <c r="H33" s="171"/>
      <c r="I33" s="172">
        <v>1</v>
      </c>
      <c r="J33" s="173">
        <f>ROUND((F33*G33*I33),0)</f>
        <v>14255808</v>
      </c>
      <c r="K33" s="181"/>
      <c r="L33" s="181"/>
    </row>
    <row r="34" spans="1:13" ht="62.25" customHeight="1" x14ac:dyDescent="0.3">
      <c r="A34" s="21"/>
      <c r="B34" s="227"/>
      <c r="C34" s="415"/>
      <c r="D34" s="105" t="s">
        <v>70</v>
      </c>
      <c r="E34" s="171"/>
      <c r="F34" s="169"/>
      <c r="G34" s="213"/>
      <c r="H34" s="171"/>
      <c r="I34" s="171"/>
      <c r="J34" s="175"/>
      <c r="K34" s="181"/>
      <c r="L34" s="181"/>
    </row>
    <row r="35" spans="1:13" ht="18.75" x14ac:dyDescent="0.3">
      <c r="A35" s="21"/>
      <c r="B35" s="227"/>
      <c r="C35" s="415"/>
      <c r="D35" s="179" t="s">
        <v>276</v>
      </c>
      <c r="E35" s="171"/>
      <c r="F35" s="169"/>
      <c r="G35" s="169"/>
      <c r="H35" s="171"/>
      <c r="I35" s="171"/>
      <c r="J35" s="180">
        <v>0</v>
      </c>
      <c r="K35" s="181"/>
      <c r="L35" s="181"/>
    </row>
    <row r="36" spans="1:13" ht="18.75" x14ac:dyDescent="0.3">
      <c r="A36" s="21"/>
      <c r="B36" s="227"/>
      <c r="C36" s="415"/>
      <c r="D36" s="19" t="s">
        <v>23</v>
      </c>
      <c r="E36" s="171"/>
      <c r="F36" s="169"/>
      <c r="G36" s="169"/>
      <c r="H36" s="171"/>
      <c r="I36" s="171"/>
      <c r="J36" s="98">
        <f>SUM(J38:J50)</f>
        <v>5977000</v>
      </c>
      <c r="K36" s="181"/>
      <c r="L36" s="181"/>
      <c r="M36" s="182"/>
    </row>
    <row r="37" spans="1:13" ht="142.5" customHeight="1" x14ac:dyDescent="0.3">
      <c r="A37" s="21"/>
      <c r="B37" s="227"/>
      <c r="C37" s="415"/>
      <c r="D37" s="398" t="s">
        <v>36</v>
      </c>
      <c r="E37" s="399"/>
      <c r="F37" s="399"/>
      <c r="G37" s="399"/>
      <c r="H37" s="399"/>
      <c r="I37" s="399"/>
      <c r="J37" s="400"/>
      <c r="K37" s="18"/>
      <c r="L37" s="18"/>
      <c r="M37" s="182"/>
    </row>
    <row r="38" spans="1:13" ht="18.75" x14ac:dyDescent="0.3">
      <c r="A38" s="21"/>
      <c r="B38" s="227"/>
      <c r="C38" s="415"/>
      <c r="D38" s="69" t="s">
        <v>259</v>
      </c>
      <c r="E38" s="20" t="s">
        <v>24</v>
      </c>
      <c r="F38" s="35">
        <v>3</v>
      </c>
      <c r="G38" s="195">
        <v>91000</v>
      </c>
      <c r="H38" s="114"/>
      <c r="I38" s="25">
        <v>1</v>
      </c>
      <c r="J38" s="24">
        <f>ROUND((F38*G38*I38),0)</f>
        <v>273000</v>
      </c>
      <c r="K38" s="204"/>
      <c r="L38" s="204"/>
    </row>
    <row r="39" spans="1:13" ht="18.75" x14ac:dyDescent="0.3">
      <c r="A39" s="21"/>
      <c r="B39" s="227"/>
      <c r="C39" s="415"/>
      <c r="D39" s="69" t="s">
        <v>260</v>
      </c>
      <c r="E39" s="20" t="s">
        <v>24</v>
      </c>
      <c r="F39" s="35">
        <v>4</v>
      </c>
      <c r="G39" s="113">
        <v>62000</v>
      </c>
      <c r="H39" s="114"/>
      <c r="I39" s="25">
        <v>1</v>
      </c>
      <c r="J39" s="24">
        <f>ROUND((F39*G39*I39),0)</f>
        <v>248000</v>
      </c>
      <c r="K39" s="204"/>
      <c r="L39" s="204"/>
    </row>
    <row r="40" spans="1:13" ht="18.75" x14ac:dyDescent="0.3">
      <c r="A40" s="21"/>
      <c r="B40" s="227"/>
      <c r="C40" s="415"/>
      <c r="D40" s="69" t="s">
        <v>261</v>
      </c>
      <c r="E40" s="20" t="s">
        <v>24</v>
      </c>
      <c r="F40" s="35">
        <v>1</v>
      </c>
      <c r="G40" s="113">
        <v>750000</v>
      </c>
      <c r="H40" s="114"/>
      <c r="I40" s="25">
        <v>1</v>
      </c>
      <c r="J40" s="24">
        <f t="shared" ref="J40:J45" si="3">ROUND((F40*G40*I40),0)</f>
        <v>750000</v>
      </c>
      <c r="K40" s="204"/>
      <c r="L40" s="204"/>
    </row>
    <row r="41" spans="1:13" ht="18.75" x14ac:dyDescent="0.3">
      <c r="A41" s="21"/>
      <c r="B41" s="227"/>
      <c r="C41" s="415"/>
      <c r="D41" s="69" t="s">
        <v>262</v>
      </c>
      <c r="E41" s="20" t="s">
        <v>24</v>
      </c>
      <c r="F41" s="35">
        <v>1</v>
      </c>
      <c r="G41" s="113">
        <v>160000</v>
      </c>
      <c r="H41" s="114"/>
      <c r="I41" s="25">
        <v>1</v>
      </c>
      <c r="J41" s="24">
        <f t="shared" si="3"/>
        <v>160000</v>
      </c>
      <c r="K41" s="204"/>
      <c r="L41" s="204"/>
    </row>
    <row r="42" spans="1:13" ht="18.75" x14ac:dyDescent="0.3">
      <c r="A42" s="21"/>
      <c r="B42" s="227"/>
      <c r="C42" s="415"/>
      <c r="D42" s="69" t="s">
        <v>263</v>
      </c>
      <c r="E42" s="20" t="s">
        <v>24</v>
      </c>
      <c r="F42" s="35">
        <v>1</v>
      </c>
      <c r="G42" s="113">
        <v>212000</v>
      </c>
      <c r="H42" s="114"/>
      <c r="I42" s="25">
        <v>1</v>
      </c>
      <c r="J42" s="24">
        <f t="shared" si="3"/>
        <v>212000</v>
      </c>
      <c r="K42" s="204"/>
      <c r="L42" s="204"/>
    </row>
    <row r="43" spans="1:13" ht="18.75" x14ac:dyDescent="0.3">
      <c r="A43" s="21"/>
      <c r="B43" s="227"/>
      <c r="C43" s="415"/>
      <c r="D43" s="69" t="s">
        <v>264</v>
      </c>
      <c r="E43" s="20" t="s">
        <v>24</v>
      </c>
      <c r="F43" s="35">
        <v>1</v>
      </c>
      <c r="G43" s="113">
        <v>593000</v>
      </c>
      <c r="H43" s="114"/>
      <c r="I43" s="25">
        <v>1</v>
      </c>
      <c r="J43" s="24">
        <f t="shared" si="3"/>
        <v>593000</v>
      </c>
      <c r="K43" s="204"/>
      <c r="L43" s="204"/>
    </row>
    <row r="44" spans="1:13" ht="18.75" x14ac:dyDescent="0.3">
      <c r="A44" s="21"/>
      <c r="B44" s="21"/>
      <c r="C44" s="415"/>
      <c r="D44" s="69" t="s">
        <v>265</v>
      </c>
      <c r="E44" s="20" t="s">
        <v>24</v>
      </c>
      <c r="F44" s="35">
        <v>1</v>
      </c>
      <c r="G44" s="113">
        <v>165000</v>
      </c>
      <c r="H44" s="114"/>
      <c r="I44" s="25">
        <v>1</v>
      </c>
      <c r="J44" s="24">
        <f t="shared" si="3"/>
        <v>165000</v>
      </c>
      <c r="K44" s="204"/>
      <c r="L44" s="204"/>
    </row>
    <row r="45" spans="1:13" ht="18.75" x14ac:dyDescent="0.3">
      <c r="A45" s="21"/>
      <c r="B45" s="21"/>
      <c r="C45" s="415"/>
      <c r="D45" s="69" t="s">
        <v>266</v>
      </c>
      <c r="E45" s="20" t="s">
        <v>24</v>
      </c>
      <c r="F45" s="35">
        <v>2</v>
      </c>
      <c r="G45" s="113">
        <v>125000</v>
      </c>
      <c r="H45" s="114"/>
      <c r="I45" s="25">
        <v>1</v>
      </c>
      <c r="J45" s="24">
        <f t="shared" si="3"/>
        <v>250000</v>
      </c>
      <c r="K45" s="204"/>
      <c r="L45" s="204"/>
    </row>
    <row r="46" spans="1:13" ht="37.5" x14ac:dyDescent="0.3">
      <c r="A46" s="21"/>
      <c r="B46" s="21"/>
      <c r="C46" s="415"/>
      <c r="D46" s="69" t="s">
        <v>277</v>
      </c>
      <c r="E46" s="20" t="s">
        <v>24</v>
      </c>
      <c r="F46" s="35">
        <v>1</v>
      </c>
      <c r="G46" s="113">
        <v>750000</v>
      </c>
      <c r="H46" s="114"/>
      <c r="I46" s="25">
        <v>1</v>
      </c>
      <c r="J46" s="24">
        <f>ROUND((F46*G46*I46),0)</f>
        <v>750000</v>
      </c>
      <c r="K46" s="204"/>
      <c r="L46" s="204"/>
    </row>
    <row r="47" spans="1:13" ht="37.5" x14ac:dyDescent="0.3">
      <c r="A47" s="18"/>
      <c r="B47" s="18"/>
      <c r="C47" s="415"/>
      <c r="D47" s="69" t="s">
        <v>278</v>
      </c>
      <c r="E47" s="20" t="s">
        <v>24</v>
      </c>
      <c r="F47" s="35">
        <v>20</v>
      </c>
      <c r="G47" s="113">
        <v>53000</v>
      </c>
      <c r="H47" s="114"/>
      <c r="I47" s="25">
        <v>1</v>
      </c>
      <c r="J47" s="24">
        <f>ROUND((F47*G47*I47),0)</f>
        <v>1060000</v>
      </c>
      <c r="K47" s="204"/>
      <c r="L47" s="204"/>
    </row>
    <row r="48" spans="1:13" ht="37.5" customHeight="1" x14ac:dyDescent="0.3">
      <c r="A48" s="18"/>
      <c r="B48" s="18"/>
      <c r="C48" s="415"/>
      <c r="D48" s="69" t="s">
        <v>279</v>
      </c>
      <c r="E48" s="20" t="s">
        <v>24</v>
      </c>
      <c r="F48" s="35">
        <v>4</v>
      </c>
      <c r="G48" s="113">
        <v>280000</v>
      </c>
      <c r="H48" s="114"/>
      <c r="I48" s="25">
        <v>1</v>
      </c>
      <c r="J48" s="24">
        <f t="shared" ref="J48" si="4">ROUND((F48*G48*I48),0)</f>
        <v>1120000</v>
      </c>
      <c r="K48" s="204"/>
      <c r="L48" s="204"/>
    </row>
    <row r="49" spans="1:12" ht="37.5" x14ac:dyDescent="0.3">
      <c r="A49" s="18"/>
      <c r="B49" s="18"/>
      <c r="C49" s="415"/>
      <c r="D49" s="69" t="s">
        <v>148</v>
      </c>
      <c r="E49" s="20" t="s">
        <v>24</v>
      </c>
      <c r="F49" s="35">
        <v>1</v>
      </c>
      <c r="G49" s="183">
        <v>168000</v>
      </c>
      <c r="H49" s="183"/>
      <c r="I49" s="184">
        <v>1</v>
      </c>
      <c r="J49" s="183">
        <f>F49*G49*I49</f>
        <v>168000</v>
      </c>
      <c r="K49" s="204"/>
      <c r="L49" s="204"/>
    </row>
    <row r="50" spans="1:12" ht="37.5" x14ac:dyDescent="0.3">
      <c r="A50" s="18"/>
      <c r="B50" s="18"/>
      <c r="C50" s="415"/>
      <c r="D50" s="69" t="s">
        <v>248</v>
      </c>
      <c r="E50" s="26" t="s">
        <v>24</v>
      </c>
      <c r="F50" s="35">
        <v>1</v>
      </c>
      <c r="G50" s="113">
        <v>228000</v>
      </c>
      <c r="H50" s="114"/>
      <c r="I50" s="25">
        <v>1</v>
      </c>
      <c r="J50" s="24">
        <f t="shared" ref="J50" si="5">ROUND((F50*G50*I50),0)</f>
        <v>228000</v>
      </c>
      <c r="K50" s="204"/>
      <c r="L50" s="204"/>
    </row>
    <row r="51" spans="1:12" ht="18.75" x14ac:dyDescent="0.3">
      <c r="A51" s="18"/>
      <c r="B51" s="18"/>
      <c r="C51" s="415"/>
      <c r="D51" s="19" t="s">
        <v>25</v>
      </c>
      <c r="E51" s="26"/>
      <c r="F51" s="27"/>
      <c r="G51" s="186"/>
      <c r="H51" s="187"/>
      <c r="I51" s="187"/>
      <c r="J51" s="29">
        <v>0</v>
      </c>
      <c r="K51" s="18"/>
      <c r="L51" s="18"/>
    </row>
    <row r="52" spans="1:12" ht="18.75" x14ac:dyDescent="0.3">
      <c r="A52" s="18"/>
      <c r="B52" s="18"/>
      <c r="C52" s="415"/>
      <c r="D52" s="30" t="s">
        <v>149</v>
      </c>
      <c r="E52" s="31"/>
      <c r="F52" s="32"/>
      <c r="G52" s="188"/>
      <c r="H52" s="189"/>
      <c r="I52" s="189"/>
      <c r="J52" s="33">
        <f>J54+J53</f>
        <v>0</v>
      </c>
      <c r="K52" s="18"/>
      <c r="L52" s="18"/>
    </row>
    <row r="53" spans="1:12" ht="123.75" customHeight="1" x14ac:dyDescent="0.3">
      <c r="A53" s="18"/>
      <c r="B53" s="18"/>
      <c r="C53" s="415"/>
      <c r="D53" s="68" t="s">
        <v>464</v>
      </c>
      <c r="E53" s="31"/>
      <c r="F53" s="404" t="s">
        <v>319</v>
      </c>
      <c r="G53" s="404"/>
      <c r="H53" s="404"/>
      <c r="I53" s="404"/>
      <c r="J53" s="404"/>
      <c r="K53" s="18"/>
      <c r="L53" s="18"/>
    </row>
    <row r="54" spans="1:12" ht="123.75" customHeight="1" x14ac:dyDescent="0.3">
      <c r="A54" s="18"/>
      <c r="B54" s="18"/>
      <c r="C54" s="415"/>
      <c r="D54" s="34" t="s">
        <v>465</v>
      </c>
      <c r="E54" s="31"/>
      <c r="F54" s="405" t="s">
        <v>320</v>
      </c>
      <c r="G54" s="405"/>
      <c r="H54" s="405"/>
      <c r="I54" s="405"/>
      <c r="J54" s="405"/>
      <c r="K54" s="18"/>
      <c r="L54" s="18"/>
    </row>
    <row r="55" spans="1:12" ht="18.75" x14ac:dyDescent="0.3">
      <c r="A55" s="18"/>
      <c r="B55" s="18"/>
      <c r="C55" s="415"/>
      <c r="D55" s="39" t="s">
        <v>26</v>
      </c>
      <c r="E55" s="40"/>
      <c r="F55" s="41"/>
      <c r="G55" s="42"/>
      <c r="H55" s="43"/>
      <c r="I55" s="43"/>
      <c r="J55" s="44">
        <f>J5+J11+J52</f>
        <v>177154918</v>
      </c>
      <c r="K55" s="18"/>
      <c r="L55" s="18"/>
    </row>
    <row r="56" spans="1:12" ht="18.75" x14ac:dyDescent="0.3">
      <c r="A56" s="18"/>
      <c r="B56" s="18"/>
      <c r="C56" s="415"/>
      <c r="D56" s="19" t="s">
        <v>27</v>
      </c>
      <c r="E56" s="31"/>
      <c r="F56" s="45"/>
      <c r="G56" s="37"/>
      <c r="H56" s="37"/>
      <c r="I56" s="37"/>
      <c r="J56" s="33">
        <f>J58</f>
        <v>8000000</v>
      </c>
      <c r="K56" s="18"/>
      <c r="L56" s="18"/>
    </row>
    <row r="57" spans="1:12" ht="56.25" x14ac:dyDescent="0.3">
      <c r="A57" s="18"/>
      <c r="B57" s="18"/>
      <c r="C57" s="415"/>
      <c r="D57" s="46" t="s">
        <v>28</v>
      </c>
      <c r="E57" s="31"/>
      <c r="F57" s="45"/>
      <c r="G57" s="37"/>
      <c r="H57" s="37"/>
      <c r="I57" s="37"/>
      <c r="J57" s="33"/>
      <c r="K57" s="18"/>
      <c r="L57" s="18"/>
    </row>
    <row r="58" spans="1:12" ht="168.75" x14ac:dyDescent="0.3">
      <c r="A58" s="18"/>
      <c r="B58" s="18"/>
      <c r="C58" s="415"/>
      <c r="D58" s="47" t="s">
        <v>29</v>
      </c>
      <c r="E58" s="40" t="s">
        <v>30</v>
      </c>
      <c r="F58" s="42">
        <v>1</v>
      </c>
      <c r="G58" s="28">
        <f>IF(J55*10%&gt;=8000000,8000000,IF(J55*10%&lt;=1000000,1000000,J55*10%))</f>
        <v>8000000</v>
      </c>
      <c r="H58" s="43"/>
      <c r="I58" s="43"/>
      <c r="J58" s="42">
        <f>F58*G58</f>
        <v>8000000</v>
      </c>
      <c r="K58" s="18"/>
      <c r="L58" s="18"/>
    </row>
    <row r="59" spans="1:12" ht="37.5" x14ac:dyDescent="0.3">
      <c r="A59" s="18"/>
      <c r="B59" s="18"/>
      <c r="C59" s="415"/>
      <c r="D59" s="39" t="s">
        <v>31</v>
      </c>
      <c r="E59" s="40"/>
      <c r="F59" s="42"/>
      <c r="G59" s="28"/>
      <c r="H59" s="43"/>
      <c r="I59" s="43"/>
      <c r="J59" s="42"/>
      <c r="K59" s="335">
        <f>J55+J56</f>
        <v>185154918</v>
      </c>
      <c r="L59" s="18"/>
    </row>
    <row r="60" spans="1:12" ht="18.75" x14ac:dyDescent="0.3">
      <c r="A60" s="18"/>
      <c r="B60" s="18"/>
      <c r="C60" s="415"/>
      <c r="D60" s="190" t="s">
        <v>32</v>
      </c>
      <c r="E60" s="50"/>
      <c r="F60" s="51"/>
      <c r="G60" s="52"/>
      <c r="H60" s="52"/>
      <c r="I60" s="52"/>
      <c r="J60" s="52"/>
      <c r="K60" s="52"/>
      <c r="L60" s="18"/>
    </row>
    <row r="61" spans="1:12" ht="93.75" x14ac:dyDescent="0.3">
      <c r="A61" s="53"/>
      <c r="B61" s="53"/>
      <c r="C61" s="416"/>
      <c r="D61" s="54" t="s">
        <v>33</v>
      </c>
      <c r="E61" s="55"/>
      <c r="F61" s="437" t="s">
        <v>34</v>
      </c>
      <c r="G61" s="437"/>
      <c r="H61" s="437"/>
      <c r="I61" s="437"/>
      <c r="J61" s="437"/>
      <c r="K61" s="56"/>
      <c r="L61" s="53"/>
    </row>
    <row r="62" spans="1:12" ht="18.75" x14ac:dyDescent="0.25">
      <c r="C62" s="191"/>
    </row>
    <row r="63" spans="1:12" ht="18.75" x14ac:dyDescent="0.25">
      <c r="C63" s="191"/>
    </row>
    <row r="64" spans="1:12" ht="18.75" x14ac:dyDescent="0.25">
      <c r="C64" s="191"/>
    </row>
    <row r="65" spans="3:3" ht="18.75" x14ac:dyDescent="0.25">
      <c r="C65" s="191"/>
    </row>
    <row r="66" spans="3:3" ht="18.75" x14ac:dyDescent="0.25">
      <c r="C66" s="191"/>
    </row>
    <row r="67" spans="3:3" ht="18.75" x14ac:dyDescent="0.25">
      <c r="C67" s="191"/>
    </row>
    <row r="68" spans="3:3" ht="18.75" x14ac:dyDescent="0.25">
      <c r="C68" s="191"/>
    </row>
    <row r="69" spans="3:3" ht="18.75" x14ac:dyDescent="0.25">
      <c r="C69" s="191"/>
    </row>
    <row r="70" spans="3:3" ht="18.75" x14ac:dyDescent="0.25">
      <c r="C70" s="191"/>
    </row>
    <row r="71" spans="3:3" ht="18.75" x14ac:dyDescent="0.25">
      <c r="C71" s="191"/>
    </row>
    <row r="72" spans="3:3" ht="18.75" x14ac:dyDescent="0.25">
      <c r="C72" s="191"/>
    </row>
    <row r="73" spans="3:3" ht="18.75" x14ac:dyDescent="0.25">
      <c r="C73" s="191"/>
    </row>
    <row r="74" spans="3:3" ht="18.75" x14ac:dyDescent="0.25">
      <c r="C74" s="191"/>
    </row>
    <row r="75" spans="3:3" ht="18.75" x14ac:dyDescent="0.25">
      <c r="C75" s="191"/>
    </row>
    <row r="76" spans="3:3" ht="18.75" x14ac:dyDescent="0.25">
      <c r="C76" s="191"/>
    </row>
    <row r="77" spans="3:3" ht="18.75" x14ac:dyDescent="0.25">
      <c r="C77" s="191"/>
    </row>
    <row r="78" spans="3:3" ht="18.75" x14ac:dyDescent="0.25">
      <c r="C78" s="191"/>
    </row>
    <row r="79" spans="3:3" ht="18.75" x14ac:dyDescent="0.25">
      <c r="C79" s="191"/>
    </row>
    <row r="80" spans="3:3" ht="18.75" x14ac:dyDescent="0.25">
      <c r="C80" s="191"/>
    </row>
    <row r="81" spans="3:3" ht="18.75" x14ac:dyDescent="0.25">
      <c r="C81" s="191"/>
    </row>
    <row r="82" spans="3:3" ht="18.75" x14ac:dyDescent="0.25">
      <c r="C82" s="191"/>
    </row>
    <row r="83" spans="3:3" ht="18.75" x14ac:dyDescent="0.25">
      <c r="C83" s="191"/>
    </row>
  </sheetData>
  <mergeCells count="9">
    <mergeCell ref="B5:B8"/>
    <mergeCell ref="D9:J9"/>
    <mergeCell ref="D13:J13"/>
    <mergeCell ref="D37:J37"/>
    <mergeCell ref="F61:J61"/>
    <mergeCell ref="G10:J10"/>
    <mergeCell ref="C4:C61"/>
    <mergeCell ref="F53:J53"/>
    <mergeCell ref="F54:J54"/>
  </mergeCells>
  <pageMargins left="0.7" right="0.7" top="0.75" bottom="0.75" header="0.3" footer="0.3"/>
  <pageSetup paperSize="9" scale="51" fitToHeight="0" orientation="landscape" verticalDpi="0" r:id="rId1"/>
  <headerFooter>
    <oddFooter>&amp;C&amp;A/&amp;P-&amp;N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topLeftCell="A14" zoomScale="70" zoomScaleNormal="70" workbookViewId="0">
      <selection activeCell="F49" sqref="F49:J49"/>
    </sheetView>
  </sheetViews>
  <sheetFormatPr defaultColWidth="9" defaultRowHeight="15" x14ac:dyDescent="0.25"/>
  <cols>
    <col min="1" max="1" width="4.85546875" style="99" customWidth="1"/>
    <col min="2" max="2" width="29.28515625" style="99" customWidth="1"/>
    <col min="3" max="4" width="55.5703125" style="99" customWidth="1"/>
    <col min="5" max="5" width="7.7109375" style="99" customWidth="1"/>
    <col min="6" max="6" width="18.5703125" style="263" bestFit="1" customWidth="1"/>
    <col min="7" max="7" width="13.140625" style="264" customWidth="1"/>
    <col min="8" max="8" width="7.7109375" style="99" customWidth="1"/>
    <col min="9" max="9" width="8.140625" style="99" customWidth="1"/>
    <col min="10" max="10" width="19.140625" style="99" bestFit="1" customWidth="1"/>
    <col min="11" max="11" width="14.85546875" style="99" customWidth="1"/>
    <col min="12" max="12" width="8.28515625" style="99" customWidth="1"/>
    <col min="13" max="16384" width="9" style="99"/>
  </cols>
  <sheetData>
    <row r="1" spans="1:12" ht="18.75" x14ac:dyDescent="0.3">
      <c r="A1" s="1" t="s">
        <v>0</v>
      </c>
      <c r="B1" s="2"/>
      <c r="C1" s="3"/>
      <c r="D1" s="3"/>
      <c r="E1" s="3"/>
      <c r="F1" s="229"/>
      <c r="G1" s="230"/>
      <c r="H1" s="3"/>
      <c r="I1" s="3"/>
      <c r="J1" s="3"/>
      <c r="K1" s="2"/>
      <c r="L1" s="2"/>
    </row>
    <row r="2" spans="1:12" ht="61.5" customHeight="1" x14ac:dyDescent="0.25">
      <c r="A2" s="4" t="s">
        <v>1</v>
      </c>
      <c r="B2" s="5" t="s">
        <v>2</v>
      </c>
      <c r="C2" s="6" t="s">
        <v>3</v>
      </c>
      <c r="D2" s="6" t="s">
        <v>4</v>
      </c>
      <c r="E2" s="6" t="s">
        <v>5</v>
      </c>
      <c r="F2" s="7" t="s">
        <v>6</v>
      </c>
      <c r="G2" s="8" t="s">
        <v>7</v>
      </c>
      <c r="H2" s="9" t="s">
        <v>8</v>
      </c>
      <c r="I2" s="9" t="s">
        <v>9</v>
      </c>
      <c r="J2" s="8" t="s">
        <v>10</v>
      </c>
      <c r="K2" s="10" t="s">
        <v>11</v>
      </c>
      <c r="L2" s="10" t="s">
        <v>12</v>
      </c>
    </row>
    <row r="3" spans="1:12" ht="18.75" x14ac:dyDescent="0.25">
      <c r="A3" s="231">
        <v>1</v>
      </c>
      <c r="B3" s="232">
        <v>2</v>
      </c>
      <c r="C3" s="233">
        <v>3</v>
      </c>
      <c r="D3" s="234">
        <v>4</v>
      </c>
      <c r="E3" s="233">
        <v>5</v>
      </c>
      <c r="F3" s="233">
        <v>6</v>
      </c>
      <c r="G3" s="233">
        <v>7</v>
      </c>
      <c r="H3" s="233">
        <v>8</v>
      </c>
      <c r="I3" s="233">
        <v>9</v>
      </c>
      <c r="J3" s="232">
        <v>10</v>
      </c>
      <c r="K3" s="234">
        <v>11</v>
      </c>
      <c r="L3" s="14">
        <v>12</v>
      </c>
    </row>
    <row r="4" spans="1:12" ht="54" customHeight="1" x14ac:dyDescent="0.3">
      <c r="A4" s="87">
        <v>10</v>
      </c>
      <c r="B4" s="211" t="s">
        <v>380</v>
      </c>
      <c r="C4" s="446" t="s">
        <v>471</v>
      </c>
      <c r="D4" s="235"/>
      <c r="E4" s="83"/>
      <c r="F4" s="83"/>
      <c r="G4" s="236"/>
      <c r="H4" s="83"/>
      <c r="I4" s="83"/>
      <c r="J4" s="85"/>
      <c r="K4" s="237"/>
      <c r="L4" s="17"/>
    </row>
    <row r="5" spans="1:12" ht="18.75" customHeight="1" x14ac:dyDescent="0.3">
      <c r="A5" s="273"/>
      <c r="B5" s="447" t="s">
        <v>281</v>
      </c>
      <c r="C5" s="446"/>
      <c r="D5" s="82" t="s">
        <v>13</v>
      </c>
      <c r="E5" s="83"/>
      <c r="F5" s="83"/>
      <c r="G5" s="236"/>
      <c r="H5" s="83"/>
      <c r="I5" s="83"/>
      <c r="J5" s="85">
        <f>J10</f>
        <v>0</v>
      </c>
      <c r="K5" s="86"/>
      <c r="L5" s="18"/>
    </row>
    <row r="6" spans="1:12" ht="35.1" customHeight="1" x14ac:dyDescent="0.3">
      <c r="A6" s="18"/>
      <c r="B6" s="448"/>
      <c r="C6" s="446"/>
      <c r="D6" s="19" t="s">
        <v>300</v>
      </c>
      <c r="E6" s="87" t="s">
        <v>14</v>
      </c>
      <c r="F6" s="201">
        <v>111.5</v>
      </c>
      <c r="G6" s="238"/>
      <c r="H6" s="90"/>
      <c r="I6" s="90"/>
      <c r="J6" s="89"/>
      <c r="K6" s="91"/>
      <c r="L6" s="18"/>
    </row>
    <row r="7" spans="1:12" ht="18.75" x14ac:dyDescent="0.3">
      <c r="A7" s="18"/>
      <c r="B7" s="448"/>
      <c r="C7" s="446"/>
      <c r="D7" s="95" t="s">
        <v>228</v>
      </c>
      <c r="E7" s="20" t="s">
        <v>14</v>
      </c>
      <c r="F7" s="202">
        <v>111.5</v>
      </c>
      <c r="G7" s="97"/>
      <c r="H7" s="90"/>
      <c r="I7" s="90"/>
      <c r="J7" s="89"/>
      <c r="K7" s="91"/>
      <c r="L7" s="18"/>
    </row>
    <row r="8" spans="1:12" ht="18.75" x14ac:dyDescent="0.3">
      <c r="A8" s="21"/>
      <c r="B8" s="448"/>
      <c r="C8" s="446"/>
      <c r="D8" s="95" t="s">
        <v>15</v>
      </c>
      <c r="E8" s="20" t="s">
        <v>14</v>
      </c>
      <c r="F8" s="202">
        <f>F6-F7</f>
        <v>0</v>
      </c>
      <c r="G8" s="238"/>
      <c r="H8" s="90"/>
      <c r="I8" s="90"/>
      <c r="J8" s="94"/>
      <c r="K8" s="91"/>
      <c r="L8" s="18"/>
    </row>
    <row r="9" spans="1:12" ht="117.75" customHeight="1" x14ac:dyDescent="0.3">
      <c r="A9" s="21"/>
      <c r="B9" s="274" t="s">
        <v>16</v>
      </c>
      <c r="C9" s="446"/>
      <c r="D9" s="391" t="s">
        <v>180</v>
      </c>
      <c r="E9" s="392"/>
      <c r="F9" s="392"/>
      <c r="G9" s="392"/>
      <c r="H9" s="392"/>
      <c r="I9" s="392"/>
      <c r="J9" s="393"/>
      <c r="K9" s="23"/>
      <c r="L9" s="18"/>
    </row>
    <row r="10" spans="1:12" ht="97.5" customHeight="1" x14ac:dyDescent="0.3">
      <c r="A10" s="21"/>
      <c r="B10" s="275" t="s">
        <v>283</v>
      </c>
      <c r="C10" s="446"/>
      <c r="D10" s="76" t="s">
        <v>59</v>
      </c>
      <c r="E10" s="20" t="s">
        <v>14</v>
      </c>
      <c r="F10" s="77">
        <f>F7</f>
        <v>111.5</v>
      </c>
      <c r="G10" s="401" t="s">
        <v>181</v>
      </c>
      <c r="H10" s="402"/>
      <c r="I10" s="402"/>
      <c r="J10" s="403"/>
      <c r="K10" s="23"/>
      <c r="L10" s="18"/>
    </row>
    <row r="11" spans="1:12" ht="18.75" customHeight="1" x14ac:dyDescent="0.3">
      <c r="A11" s="21"/>
      <c r="C11" s="446"/>
      <c r="D11" s="19" t="s">
        <v>19</v>
      </c>
      <c r="E11" s="26"/>
      <c r="F11" s="38"/>
      <c r="G11" s="28"/>
      <c r="H11" s="25"/>
      <c r="I11" s="25"/>
      <c r="J11" s="98">
        <f>J12+J21+J22</f>
        <v>23220759</v>
      </c>
      <c r="K11" s="23"/>
      <c r="L11" s="18"/>
    </row>
    <row r="12" spans="1:12" ht="18.75" x14ac:dyDescent="0.3">
      <c r="A12" s="21"/>
      <c r="B12" s="218" t="s">
        <v>17</v>
      </c>
      <c r="C12" s="446"/>
      <c r="D12" s="19" t="s">
        <v>20</v>
      </c>
      <c r="E12" s="26"/>
      <c r="F12" s="38"/>
      <c r="G12" s="28"/>
      <c r="H12" s="25"/>
      <c r="I12" s="25"/>
      <c r="J12" s="98">
        <f>SUM(J14:J20)</f>
        <v>15279759</v>
      </c>
      <c r="K12" s="23"/>
      <c r="L12" s="23"/>
    </row>
    <row r="13" spans="1:12" ht="250.5" customHeight="1" x14ac:dyDescent="0.3">
      <c r="A13" s="21"/>
      <c r="B13" s="275" t="s">
        <v>283</v>
      </c>
      <c r="C13" s="446"/>
      <c r="D13" s="439" t="s">
        <v>284</v>
      </c>
      <c r="E13" s="439"/>
      <c r="F13" s="439"/>
      <c r="G13" s="439"/>
      <c r="H13" s="439"/>
      <c r="I13" s="439"/>
      <c r="J13" s="439"/>
      <c r="K13" s="239"/>
      <c r="L13" s="239"/>
    </row>
    <row r="14" spans="1:12" ht="49.5" customHeight="1" x14ac:dyDescent="0.3">
      <c r="A14" s="21"/>
      <c r="B14" s="276"/>
      <c r="C14" s="446"/>
      <c r="D14" s="100" t="s">
        <v>285</v>
      </c>
      <c r="E14" s="26"/>
      <c r="F14" s="26"/>
      <c r="G14" s="28"/>
      <c r="H14" s="107"/>
      <c r="I14" s="25"/>
      <c r="J14" s="24"/>
      <c r="K14" s="23"/>
      <c r="L14" s="23"/>
    </row>
    <row r="15" spans="1:12" ht="29.25" customHeight="1" x14ac:dyDescent="0.3">
      <c r="A15" s="21"/>
      <c r="B15" s="276"/>
      <c r="C15" s="446"/>
      <c r="D15" s="100" t="s">
        <v>303</v>
      </c>
      <c r="E15" s="26" t="s">
        <v>286</v>
      </c>
      <c r="F15" s="26">
        <v>15</v>
      </c>
      <c r="G15" s="28">
        <v>537955</v>
      </c>
      <c r="H15" s="107"/>
      <c r="I15" s="25">
        <v>1</v>
      </c>
      <c r="J15" s="24">
        <f>ROUND((F15*G15*I15),0)</f>
        <v>8069325</v>
      </c>
      <c r="K15" s="23"/>
      <c r="L15" s="23"/>
    </row>
    <row r="16" spans="1:12" ht="66.75" customHeight="1" x14ac:dyDescent="0.3">
      <c r="A16" s="21"/>
      <c r="B16" s="276"/>
      <c r="C16" s="446"/>
      <c r="D16" s="105" t="s">
        <v>304</v>
      </c>
      <c r="E16" s="107"/>
      <c r="F16" s="103"/>
      <c r="G16" s="106"/>
      <c r="H16" s="107"/>
      <c r="I16" s="107"/>
      <c r="J16" s="107"/>
      <c r="K16" s="23"/>
      <c r="L16" s="23"/>
    </row>
    <row r="17" spans="1:12" ht="37.5" x14ac:dyDescent="0.3">
      <c r="A17" s="21"/>
      <c r="B17" s="276"/>
      <c r="C17" s="446"/>
      <c r="D17" s="108" t="s">
        <v>467</v>
      </c>
      <c r="E17" s="26" t="s">
        <v>175</v>
      </c>
      <c r="F17" s="243">
        <f>0.2*0.2*15</f>
        <v>0.60000000000000009</v>
      </c>
      <c r="G17" s="28">
        <v>3096280</v>
      </c>
      <c r="H17" s="244"/>
      <c r="I17" s="25">
        <v>1</v>
      </c>
      <c r="J17" s="24">
        <f>ROUND((F17*G17*I17),0)</f>
        <v>1857768</v>
      </c>
      <c r="K17" s="23"/>
      <c r="L17" s="23"/>
    </row>
    <row r="18" spans="1:12" ht="59.25" customHeight="1" x14ac:dyDescent="0.3">
      <c r="A18" s="21"/>
      <c r="B18" s="276"/>
      <c r="C18" s="446"/>
      <c r="D18" s="105" t="s">
        <v>468</v>
      </c>
      <c r="E18" s="107"/>
      <c r="F18" s="103"/>
      <c r="G18" s="106"/>
      <c r="H18" s="107"/>
      <c r="I18" s="107"/>
      <c r="J18" s="107"/>
      <c r="K18" s="23"/>
      <c r="L18" s="23"/>
    </row>
    <row r="19" spans="1:12" ht="39.75" customHeight="1" x14ac:dyDescent="0.3">
      <c r="A19" s="21"/>
      <c r="B19" s="276"/>
      <c r="C19" s="446"/>
      <c r="D19" s="100" t="s">
        <v>287</v>
      </c>
      <c r="E19" s="26" t="s">
        <v>14</v>
      </c>
      <c r="F19" s="26">
        <f>3.5*2.8</f>
        <v>9.7999999999999989</v>
      </c>
      <c r="G19" s="28">
        <v>682738</v>
      </c>
      <c r="H19" s="107"/>
      <c r="I19" s="25">
        <v>0.8</v>
      </c>
      <c r="J19" s="24">
        <f>ROUND((F19*G19*I19),0)</f>
        <v>5352666</v>
      </c>
      <c r="K19" s="23"/>
      <c r="L19" s="23"/>
    </row>
    <row r="20" spans="1:12" ht="62.25" customHeight="1" x14ac:dyDescent="0.3">
      <c r="A20" s="21"/>
      <c r="B20" s="276"/>
      <c r="C20" s="446"/>
      <c r="D20" s="105" t="s">
        <v>288</v>
      </c>
      <c r="E20" s="107"/>
      <c r="F20" s="103"/>
      <c r="G20" s="106"/>
      <c r="H20" s="107"/>
      <c r="I20" s="107"/>
      <c r="J20" s="107"/>
      <c r="K20" s="23"/>
      <c r="L20" s="23"/>
    </row>
    <row r="21" spans="1:12" ht="18.75" x14ac:dyDescent="0.3">
      <c r="A21" s="21"/>
      <c r="B21" s="277"/>
      <c r="C21" s="446"/>
      <c r="D21" s="19" t="s">
        <v>22</v>
      </c>
      <c r="E21" s="26"/>
      <c r="F21" s="38"/>
      <c r="G21" s="28"/>
      <c r="H21" s="25"/>
      <c r="I21" s="25"/>
      <c r="J21" s="98">
        <v>0</v>
      </c>
      <c r="K21" s="23"/>
      <c r="L21" s="23"/>
    </row>
    <row r="22" spans="1:12" ht="18.75" x14ac:dyDescent="0.3">
      <c r="A22" s="18"/>
      <c r="B22" s="214"/>
      <c r="C22" s="446"/>
      <c r="D22" s="19" t="s">
        <v>23</v>
      </c>
      <c r="E22" s="26"/>
      <c r="F22" s="38"/>
      <c r="G22" s="28"/>
      <c r="H22" s="25"/>
      <c r="I22" s="25"/>
      <c r="J22" s="98">
        <f>SUM(J24:J39)</f>
        <v>7941000</v>
      </c>
      <c r="K22" s="23"/>
      <c r="L22" s="23"/>
    </row>
    <row r="23" spans="1:12" ht="18.75" customHeight="1" x14ac:dyDescent="0.3">
      <c r="A23" s="21"/>
      <c r="B23" s="214"/>
      <c r="C23" s="446"/>
      <c r="D23" s="449" t="s">
        <v>241</v>
      </c>
      <c r="E23" s="450"/>
      <c r="F23" s="450"/>
      <c r="G23" s="450"/>
      <c r="H23" s="450"/>
      <c r="I23" s="450"/>
      <c r="J23" s="451"/>
      <c r="K23" s="23"/>
      <c r="L23" s="23"/>
    </row>
    <row r="24" spans="1:12" ht="39" customHeight="1" x14ac:dyDescent="0.3">
      <c r="A24" s="21"/>
      <c r="B24" s="214"/>
      <c r="C24" s="446"/>
      <c r="D24" s="452"/>
      <c r="E24" s="453"/>
      <c r="F24" s="453"/>
      <c r="G24" s="453"/>
      <c r="H24" s="453"/>
      <c r="I24" s="453"/>
      <c r="J24" s="454"/>
      <c r="K24" s="23"/>
      <c r="L24" s="23"/>
    </row>
    <row r="25" spans="1:12" ht="43.5" customHeight="1" x14ac:dyDescent="0.3">
      <c r="A25" s="18"/>
      <c r="B25" s="214"/>
      <c r="C25" s="446"/>
      <c r="D25" s="455"/>
      <c r="E25" s="456"/>
      <c r="F25" s="456"/>
      <c r="G25" s="456"/>
      <c r="H25" s="456"/>
      <c r="I25" s="456"/>
      <c r="J25" s="457"/>
      <c r="K25" s="23"/>
      <c r="L25" s="23"/>
    </row>
    <row r="26" spans="1:12" ht="30.75" customHeight="1" x14ac:dyDescent="0.3">
      <c r="A26" s="18"/>
      <c r="B26" s="214"/>
      <c r="C26" s="446"/>
      <c r="D26" s="92" t="s">
        <v>289</v>
      </c>
      <c r="E26" s="26" t="s">
        <v>24</v>
      </c>
      <c r="F26" s="249">
        <v>12</v>
      </c>
      <c r="G26" s="28">
        <v>61000</v>
      </c>
      <c r="H26" s="25"/>
      <c r="I26" s="25">
        <v>1</v>
      </c>
      <c r="J26" s="188">
        <f>ROUND((F26*G26*I26),0)</f>
        <v>732000</v>
      </c>
      <c r="K26" s="23"/>
      <c r="L26" s="23"/>
    </row>
    <row r="27" spans="1:12" ht="31.5" customHeight="1" x14ac:dyDescent="0.3">
      <c r="A27" s="18"/>
      <c r="B27" s="214"/>
      <c r="C27" s="446"/>
      <c r="D27" s="92" t="s">
        <v>290</v>
      </c>
      <c r="E27" s="26" t="s">
        <v>24</v>
      </c>
      <c r="F27" s="249">
        <v>1</v>
      </c>
      <c r="G27" s="28">
        <v>180000</v>
      </c>
      <c r="H27" s="25"/>
      <c r="I27" s="25">
        <v>1</v>
      </c>
      <c r="J27" s="188">
        <f>ROUND((F27*G27*I27),0)</f>
        <v>180000</v>
      </c>
      <c r="K27" s="23"/>
      <c r="L27" s="23"/>
    </row>
    <row r="28" spans="1:12" ht="26.25" customHeight="1" x14ac:dyDescent="0.3">
      <c r="A28" s="18"/>
      <c r="B28" s="214"/>
      <c r="C28" s="446"/>
      <c r="D28" s="108" t="s">
        <v>291</v>
      </c>
      <c r="E28" s="26" t="s">
        <v>24</v>
      </c>
      <c r="F28" s="249">
        <v>1</v>
      </c>
      <c r="G28" s="28">
        <v>240000</v>
      </c>
      <c r="H28" s="25"/>
      <c r="I28" s="25">
        <v>1</v>
      </c>
      <c r="J28" s="188">
        <f t="shared" ref="J28:J39" si="0">ROUND((F28*G28*I28),0)</f>
        <v>240000</v>
      </c>
      <c r="K28" s="23"/>
      <c r="L28" s="23"/>
    </row>
    <row r="29" spans="1:12" ht="30.75" customHeight="1" x14ac:dyDescent="0.3">
      <c r="A29" s="18"/>
      <c r="B29" s="214"/>
      <c r="C29" s="446"/>
      <c r="D29" s="108" t="s">
        <v>292</v>
      </c>
      <c r="E29" s="26" t="s">
        <v>24</v>
      </c>
      <c r="F29" s="249">
        <v>1</v>
      </c>
      <c r="G29" s="28">
        <v>511000</v>
      </c>
      <c r="H29" s="25"/>
      <c r="I29" s="25">
        <v>1</v>
      </c>
      <c r="J29" s="188">
        <f t="shared" si="0"/>
        <v>511000</v>
      </c>
      <c r="K29" s="23"/>
      <c r="L29" s="23"/>
    </row>
    <row r="30" spans="1:12" ht="45" customHeight="1" x14ac:dyDescent="0.3">
      <c r="A30" s="18"/>
      <c r="B30" s="214"/>
      <c r="C30" s="446"/>
      <c r="D30" s="108" t="s">
        <v>306</v>
      </c>
      <c r="E30" s="26" t="s">
        <v>24</v>
      </c>
      <c r="F30" s="249">
        <v>1</v>
      </c>
      <c r="G30" s="28">
        <v>161000</v>
      </c>
      <c r="H30" s="25"/>
      <c r="I30" s="25">
        <v>1</v>
      </c>
      <c r="J30" s="188">
        <f t="shared" ref="J30" si="1">ROUND((F30*G30*I30),0)</f>
        <v>161000</v>
      </c>
      <c r="K30" s="23"/>
      <c r="L30" s="23"/>
    </row>
    <row r="31" spans="1:12" ht="33" customHeight="1" x14ac:dyDescent="0.3">
      <c r="A31" s="18"/>
      <c r="B31" s="214"/>
      <c r="C31" s="446"/>
      <c r="D31" s="108" t="s">
        <v>293</v>
      </c>
      <c r="E31" s="26" t="s">
        <v>24</v>
      </c>
      <c r="F31" s="249">
        <v>1</v>
      </c>
      <c r="G31" s="28">
        <v>853000</v>
      </c>
      <c r="H31" s="25"/>
      <c r="I31" s="25">
        <v>1</v>
      </c>
      <c r="J31" s="188">
        <f t="shared" si="0"/>
        <v>853000</v>
      </c>
      <c r="K31" s="23"/>
      <c r="L31" s="23"/>
    </row>
    <row r="32" spans="1:12" ht="26.25" customHeight="1" x14ac:dyDescent="0.3">
      <c r="A32" s="18"/>
      <c r="B32" s="214"/>
      <c r="C32" s="446"/>
      <c r="D32" s="108" t="s">
        <v>294</v>
      </c>
      <c r="E32" s="26" t="s">
        <v>24</v>
      </c>
      <c r="F32" s="249">
        <v>1</v>
      </c>
      <c r="G32" s="28">
        <v>113000</v>
      </c>
      <c r="H32" s="25"/>
      <c r="I32" s="25">
        <v>1</v>
      </c>
      <c r="J32" s="188">
        <f t="shared" si="0"/>
        <v>113000</v>
      </c>
      <c r="K32" s="23"/>
      <c r="L32" s="23"/>
    </row>
    <row r="33" spans="1:12" ht="29.25" customHeight="1" x14ac:dyDescent="0.3">
      <c r="A33" s="18"/>
      <c r="B33" s="214"/>
      <c r="C33" s="446"/>
      <c r="D33" s="108" t="s">
        <v>295</v>
      </c>
      <c r="E33" s="26" t="s">
        <v>24</v>
      </c>
      <c r="F33" s="249">
        <v>1</v>
      </c>
      <c r="G33" s="28">
        <v>510000</v>
      </c>
      <c r="H33" s="25"/>
      <c r="I33" s="25">
        <v>1</v>
      </c>
      <c r="J33" s="188">
        <f t="shared" si="0"/>
        <v>510000</v>
      </c>
      <c r="K33" s="23"/>
      <c r="L33" s="23"/>
    </row>
    <row r="34" spans="1:12" ht="28.5" customHeight="1" x14ac:dyDescent="0.3">
      <c r="A34" s="18"/>
      <c r="B34" s="214"/>
      <c r="C34" s="446"/>
      <c r="D34" s="108" t="s">
        <v>296</v>
      </c>
      <c r="E34" s="26" t="s">
        <v>24</v>
      </c>
      <c r="F34" s="249">
        <v>1</v>
      </c>
      <c r="G34" s="28">
        <v>320000</v>
      </c>
      <c r="H34" s="25"/>
      <c r="I34" s="25">
        <v>1</v>
      </c>
      <c r="J34" s="188">
        <f t="shared" si="0"/>
        <v>320000</v>
      </c>
      <c r="K34" s="23"/>
      <c r="L34" s="23"/>
    </row>
    <row r="35" spans="1:12" ht="25.5" customHeight="1" x14ac:dyDescent="0.3">
      <c r="A35" s="18"/>
      <c r="B35" s="214"/>
      <c r="C35" s="446"/>
      <c r="D35" s="108" t="s">
        <v>297</v>
      </c>
      <c r="E35" s="26" t="s">
        <v>24</v>
      </c>
      <c r="F35" s="249">
        <v>2</v>
      </c>
      <c r="G35" s="28">
        <v>1533000</v>
      </c>
      <c r="H35" s="25"/>
      <c r="I35" s="25">
        <v>1</v>
      </c>
      <c r="J35" s="188">
        <f t="shared" si="0"/>
        <v>3066000</v>
      </c>
      <c r="K35" s="23"/>
      <c r="L35" s="23"/>
    </row>
    <row r="36" spans="1:12" ht="47.25" customHeight="1" x14ac:dyDescent="0.3">
      <c r="A36" s="18"/>
      <c r="B36" s="214"/>
      <c r="C36" s="446"/>
      <c r="D36" s="108" t="s">
        <v>307</v>
      </c>
      <c r="E36" s="26" t="s">
        <v>24</v>
      </c>
      <c r="F36" s="249">
        <v>8</v>
      </c>
      <c r="G36" s="28">
        <v>53000</v>
      </c>
      <c r="H36" s="25"/>
      <c r="I36" s="25">
        <v>1</v>
      </c>
      <c r="J36" s="188">
        <f t="shared" ref="J36" si="2">ROUND((F36*G36*I36),0)</f>
        <v>424000</v>
      </c>
      <c r="K36" s="23"/>
      <c r="L36" s="23"/>
    </row>
    <row r="37" spans="1:12" ht="43.5" customHeight="1" x14ac:dyDescent="0.3">
      <c r="A37" s="18"/>
      <c r="B37" s="214"/>
      <c r="C37" s="446"/>
      <c r="D37" s="108" t="s">
        <v>308</v>
      </c>
      <c r="E37" s="26" t="s">
        <v>24</v>
      </c>
      <c r="F37" s="249">
        <v>1</v>
      </c>
      <c r="G37" s="28">
        <v>353000</v>
      </c>
      <c r="H37" s="25"/>
      <c r="I37" s="25">
        <v>1</v>
      </c>
      <c r="J37" s="188">
        <f t="shared" ref="J37" si="3">ROUND((F37*G37*I37),0)</f>
        <v>353000</v>
      </c>
      <c r="K37" s="23"/>
      <c r="L37" s="23"/>
    </row>
    <row r="38" spans="1:12" ht="26.25" customHeight="1" x14ac:dyDescent="0.3">
      <c r="A38" s="18"/>
      <c r="B38" s="214"/>
      <c r="C38" s="446"/>
      <c r="D38" s="108" t="s">
        <v>298</v>
      </c>
      <c r="E38" s="26" t="s">
        <v>24</v>
      </c>
      <c r="F38" s="249">
        <v>1</v>
      </c>
      <c r="G38" s="28">
        <v>184000</v>
      </c>
      <c r="H38" s="25"/>
      <c r="I38" s="25">
        <v>1</v>
      </c>
      <c r="J38" s="188">
        <f t="shared" si="0"/>
        <v>184000</v>
      </c>
      <c r="K38" s="23"/>
      <c r="L38" s="23"/>
    </row>
    <row r="39" spans="1:12" ht="25.5" customHeight="1" x14ac:dyDescent="0.3">
      <c r="A39" s="18"/>
      <c r="B39" s="214"/>
      <c r="C39" s="446"/>
      <c r="D39" s="108" t="s">
        <v>299</v>
      </c>
      <c r="E39" s="26" t="s">
        <v>24</v>
      </c>
      <c r="F39" s="249">
        <v>1</v>
      </c>
      <c r="G39" s="28">
        <v>294000</v>
      </c>
      <c r="H39" s="25"/>
      <c r="I39" s="25">
        <v>1</v>
      </c>
      <c r="J39" s="188">
        <f t="shared" si="0"/>
        <v>294000</v>
      </c>
      <c r="K39" s="23"/>
      <c r="L39" s="23"/>
    </row>
    <row r="40" spans="1:12" ht="25.5" customHeight="1" x14ac:dyDescent="0.3">
      <c r="A40" s="18"/>
      <c r="B40" s="214"/>
      <c r="C40" s="446"/>
      <c r="D40" s="19" t="s">
        <v>25</v>
      </c>
      <c r="E40" s="26"/>
      <c r="F40" s="38"/>
      <c r="G40" s="250"/>
      <c r="H40" s="187"/>
      <c r="I40" s="187"/>
      <c r="J40" s="29">
        <v>0</v>
      </c>
      <c r="K40" s="67"/>
      <c r="L40" s="67"/>
    </row>
    <row r="41" spans="1:12" ht="33" customHeight="1" x14ac:dyDescent="0.3">
      <c r="A41" s="18"/>
      <c r="B41" s="214"/>
      <c r="C41" s="446"/>
      <c r="D41" s="30" t="s">
        <v>37</v>
      </c>
      <c r="E41" s="31"/>
      <c r="F41" s="38"/>
      <c r="G41" s="250"/>
      <c r="H41" s="187"/>
      <c r="I41" s="187"/>
      <c r="J41" s="29">
        <f>SUM(J42:J43)</f>
        <v>0</v>
      </c>
      <c r="K41" s="67"/>
      <c r="L41" s="67"/>
    </row>
    <row r="42" spans="1:12" ht="129.75" customHeight="1" x14ac:dyDescent="0.3">
      <c r="A42" s="18"/>
      <c r="B42" s="278"/>
      <c r="C42" s="446"/>
      <c r="D42" s="68" t="s">
        <v>470</v>
      </c>
      <c r="E42" s="31"/>
      <c r="F42" s="405" t="s">
        <v>319</v>
      </c>
      <c r="G42" s="405"/>
      <c r="H42" s="405"/>
      <c r="I42" s="405"/>
      <c r="J42" s="405"/>
      <c r="K42" s="67"/>
      <c r="L42" s="67"/>
    </row>
    <row r="43" spans="1:12" ht="137.25" customHeight="1" x14ac:dyDescent="0.25">
      <c r="A43" s="204"/>
      <c r="B43" s="279"/>
      <c r="C43" s="446"/>
      <c r="D43" s="282" t="s">
        <v>469</v>
      </c>
      <c r="E43" s="280"/>
      <c r="F43" s="405" t="s">
        <v>320</v>
      </c>
      <c r="G43" s="405"/>
      <c r="H43" s="405"/>
      <c r="I43" s="405"/>
      <c r="J43" s="405"/>
      <c r="K43" s="252"/>
      <c r="L43" s="67"/>
    </row>
    <row r="44" spans="1:12" ht="34.5" customHeight="1" x14ac:dyDescent="0.25">
      <c r="A44" s="204"/>
      <c r="B44" s="279"/>
      <c r="C44" s="446"/>
      <c r="D44" s="39" t="s">
        <v>26</v>
      </c>
      <c r="E44" s="40"/>
      <c r="F44" s="254"/>
      <c r="G44" s="42"/>
      <c r="H44" s="43"/>
      <c r="I44" s="43"/>
      <c r="J44" s="44">
        <f>J5+J11+J41</f>
        <v>23220759</v>
      </c>
      <c r="K44" s="67"/>
      <c r="L44" s="67"/>
    </row>
    <row r="45" spans="1:12" ht="33.75" customHeight="1" x14ac:dyDescent="0.25">
      <c r="A45" s="204"/>
      <c r="B45" s="279"/>
      <c r="C45" s="446"/>
      <c r="D45" s="19" t="s">
        <v>27</v>
      </c>
      <c r="E45" s="31"/>
      <c r="F45" s="45"/>
      <c r="G45" s="255"/>
      <c r="H45" s="37"/>
      <c r="I45" s="37"/>
      <c r="J45" s="33">
        <v>0</v>
      </c>
      <c r="K45" s="67"/>
      <c r="L45" s="204"/>
    </row>
    <row r="46" spans="1:12" ht="47.25" customHeight="1" x14ac:dyDescent="0.25">
      <c r="A46" s="204"/>
      <c r="B46" s="279"/>
      <c r="C46" s="446"/>
      <c r="D46" s="46" t="s">
        <v>305</v>
      </c>
      <c r="E46" s="31"/>
      <c r="F46" s="45"/>
      <c r="G46" s="255"/>
      <c r="H46" s="37"/>
      <c r="I46" s="37"/>
      <c r="J46" s="33"/>
      <c r="K46" s="67"/>
      <c r="L46" s="204"/>
    </row>
    <row r="47" spans="1:12" ht="47.25" customHeight="1" x14ac:dyDescent="0.25">
      <c r="A47" s="204"/>
      <c r="B47" s="279"/>
      <c r="C47" s="446"/>
      <c r="D47" s="39" t="s">
        <v>31</v>
      </c>
      <c r="E47" s="40"/>
      <c r="F47" s="256"/>
      <c r="G47" s="28"/>
      <c r="H47" s="43"/>
      <c r="I47" s="43"/>
      <c r="J47" s="42"/>
      <c r="K47" s="33">
        <f>J44+J45</f>
        <v>23220759</v>
      </c>
      <c r="L47" s="204"/>
    </row>
    <row r="48" spans="1:12" ht="21.75" customHeight="1" x14ac:dyDescent="0.25">
      <c r="A48" s="444"/>
      <c r="B48" s="444"/>
      <c r="C48" s="446"/>
      <c r="D48" s="257" t="s">
        <v>32</v>
      </c>
      <c r="E48" s="258"/>
      <c r="F48" s="259"/>
      <c r="G48" s="260"/>
      <c r="H48" s="257"/>
      <c r="I48" s="257"/>
      <c r="J48" s="257"/>
      <c r="K48" s="67"/>
      <c r="L48" s="204"/>
    </row>
    <row r="49" spans="1:12" ht="408.75" customHeight="1" x14ac:dyDescent="0.25">
      <c r="A49" s="445"/>
      <c r="B49" s="445"/>
      <c r="C49" s="446"/>
      <c r="D49" s="323" t="s">
        <v>33</v>
      </c>
      <c r="E49" s="55"/>
      <c r="F49" s="443" t="s">
        <v>34</v>
      </c>
      <c r="G49" s="443"/>
      <c r="H49" s="443"/>
      <c r="I49" s="443"/>
      <c r="J49" s="443"/>
      <c r="K49" s="281"/>
      <c r="L49" s="216"/>
    </row>
  </sheetData>
  <mergeCells count="11">
    <mergeCell ref="F49:J49"/>
    <mergeCell ref="G10:J10"/>
    <mergeCell ref="B48:B49"/>
    <mergeCell ref="A48:A49"/>
    <mergeCell ref="F42:J42"/>
    <mergeCell ref="F43:J43"/>
    <mergeCell ref="C4:C49"/>
    <mergeCell ref="B5:B8"/>
    <mergeCell ref="D9:J9"/>
    <mergeCell ref="D13:J13"/>
    <mergeCell ref="D23:J25"/>
  </mergeCells>
  <pageMargins left="0.7" right="0.7" top="0.75" bottom="0.75" header="0.3" footer="0.3"/>
  <pageSetup paperSize="9" scale="54" fitToHeight="0" orientation="landscape" verticalDpi="0" r:id="rId1"/>
  <headerFooter>
    <oddFooter>&amp;C&amp;A/&amp;P-&amp;N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2"/>
  <sheetViews>
    <sheetView topLeftCell="A13" zoomScale="70" zoomScaleNormal="70" workbookViewId="0">
      <selection activeCell="D14" sqref="D14:J14"/>
    </sheetView>
  </sheetViews>
  <sheetFormatPr defaultColWidth="9" defaultRowHeight="15" x14ac:dyDescent="0.25"/>
  <cols>
    <col min="1" max="1" width="4.85546875" style="99" customWidth="1"/>
    <col min="2" max="2" width="29.28515625" style="99" customWidth="1"/>
    <col min="3" max="4" width="55.5703125" style="99" customWidth="1"/>
    <col min="5" max="5" width="7.7109375" style="99" customWidth="1"/>
    <col min="6" max="6" width="11.42578125" style="263" customWidth="1"/>
    <col min="7" max="7" width="13.140625" style="264" customWidth="1"/>
    <col min="8" max="8" width="7.7109375" style="99" customWidth="1"/>
    <col min="9" max="9" width="8.140625" style="99" customWidth="1"/>
    <col min="10" max="11" width="18" style="99" bestFit="1" customWidth="1"/>
    <col min="12" max="12" width="8.28515625" style="99" customWidth="1"/>
    <col min="13" max="13" width="9" style="99"/>
    <col min="14" max="14" width="12.140625" style="99" bestFit="1" customWidth="1"/>
    <col min="15" max="16384" width="9" style="99"/>
  </cols>
  <sheetData>
    <row r="1" spans="1:12" ht="18.75" x14ac:dyDescent="0.3">
      <c r="A1" s="1" t="s">
        <v>0</v>
      </c>
      <c r="B1" s="2"/>
      <c r="C1" s="3"/>
      <c r="D1" s="3"/>
      <c r="E1" s="3"/>
      <c r="F1" s="229"/>
      <c r="G1" s="230"/>
      <c r="H1" s="3"/>
      <c r="I1" s="3"/>
      <c r="J1" s="3"/>
      <c r="K1" s="2"/>
      <c r="L1" s="2"/>
    </row>
    <row r="2" spans="1:12" ht="61.5" customHeight="1" x14ac:dyDescent="0.25">
      <c r="A2" s="4" t="s">
        <v>1</v>
      </c>
      <c r="B2" s="5" t="s">
        <v>2</v>
      </c>
      <c r="C2" s="6" t="s">
        <v>3</v>
      </c>
      <c r="D2" s="6" t="s">
        <v>4</v>
      </c>
      <c r="E2" s="6" t="s">
        <v>5</v>
      </c>
      <c r="F2" s="7" t="s">
        <v>6</v>
      </c>
      <c r="G2" s="8" t="s">
        <v>7</v>
      </c>
      <c r="H2" s="9" t="s">
        <v>8</v>
      </c>
      <c r="I2" s="9" t="s">
        <v>9</v>
      </c>
      <c r="J2" s="8" t="s">
        <v>10</v>
      </c>
      <c r="K2" s="10" t="s">
        <v>11</v>
      </c>
      <c r="L2" s="10" t="s">
        <v>12</v>
      </c>
    </row>
    <row r="3" spans="1:12" ht="18.75" x14ac:dyDescent="0.25">
      <c r="A3" s="231">
        <v>1</v>
      </c>
      <c r="B3" s="232">
        <v>2</v>
      </c>
      <c r="C3" s="233">
        <v>3</v>
      </c>
      <c r="D3" s="234">
        <v>4</v>
      </c>
      <c r="E3" s="233">
        <v>5</v>
      </c>
      <c r="F3" s="233">
        <v>6</v>
      </c>
      <c r="G3" s="233">
        <v>7</v>
      </c>
      <c r="H3" s="233">
        <v>8</v>
      </c>
      <c r="I3" s="233">
        <v>9</v>
      </c>
      <c r="J3" s="232">
        <v>10</v>
      </c>
      <c r="K3" s="234">
        <v>11</v>
      </c>
      <c r="L3" s="14">
        <v>12</v>
      </c>
    </row>
    <row r="4" spans="1:12" ht="55.5" customHeight="1" x14ac:dyDescent="0.3">
      <c r="A4" s="303">
        <v>11</v>
      </c>
      <c r="B4" s="320" t="s">
        <v>380</v>
      </c>
      <c r="C4" s="484" t="s">
        <v>472</v>
      </c>
      <c r="D4" s="304"/>
      <c r="E4" s="83"/>
      <c r="F4" s="83"/>
      <c r="G4" s="236"/>
      <c r="H4" s="83"/>
      <c r="I4" s="83"/>
      <c r="J4" s="85"/>
      <c r="K4" s="338"/>
      <c r="L4" s="17"/>
    </row>
    <row r="5" spans="1:12" ht="30" customHeight="1" x14ac:dyDescent="0.3">
      <c r="A5" s="305"/>
      <c r="B5" s="390" t="s">
        <v>381</v>
      </c>
      <c r="C5" s="485"/>
      <c r="D5" s="306" t="s">
        <v>13</v>
      </c>
      <c r="E5" s="83"/>
      <c r="F5" s="83"/>
      <c r="G5" s="236"/>
      <c r="H5" s="83"/>
      <c r="I5" s="83"/>
      <c r="J5" s="160">
        <f>J11</f>
        <v>0</v>
      </c>
      <c r="K5" s="333"/>
      <c r="L5" s="18"/>
    </row>
    <row r="6" spans="1:12" ht="47.25" customHeight="1" x14ac:dyDescent="0.3">
      <c r="A6" s="214"/>
      <c r="B6" s="390"/>
      <c r="C6" s="485"/>
      <c r="D6" s="307" t="s">
        <v>382</v>
      </c>
      <c r="E6" s="87" t="s">
        <v>14</v>
      </c>
      <c r="F6" s="201">
        <v>111.5</v>
      </c>
      <c r="G6" s="238"/>
      <c r="H6" s="90"/>
      <c r="I6" s="90"/>
      <c r="J6" s="89"/>
      <c r="K6" s="334"/>
      <c r="L6" s="18"/>
    </row>
    <row r="7" spans="1:12" ht="30" customHeight="1" x14ac:dyDescent="0.3">
      <c r="A7" s="214"/>
      <c r="B7" s="390"/>
      <c r="C7" s="485"/>
      <c r="D7" s="308" t="s">
        <v>228</v>
      </c>
      <c r="E7" s="20" t="s">
        <v>14</v>
      </c>
      <c r="F7" s="202">
        <v>111.5</v>
      </c>
      <c r="G7" s="97"/>
      <c r="H7" s="90"/>
      <c r="I7" s="90"/>
      <c r="J7" s="89"/>
      <c r="K7" s="334"/>
      <c r="L7" s="18"/>
    </row>
    <row r="8" spans="1:12" ht="30" customHeight="1" x14ac:dyDescent="0.3">
      <c r="A8" s="276"/>
      <c r="B8" s="390"/>
      <c r="C8" s="485"/>
      <c r="D8" s="308" t="s">
        <v>15</v>
      </c>
      <c r="E8" s="20" t="s">
        <v>14</v>
      </c>
      <c r="F8" s="202">
        <f>F6-F7</f>
        <v>0</v>
      </c>
      <c r="G8" s="238"/>
      <c r="H8" s="90"/>
      <c r="I8" s="90"/>
      <c r="J8" s="94"/>
      <c r="K8" s="334"/>
      <c r="L8" s="18"/>
    </row>
    <row r="9" spans="1:12" ht="30" customHeight="1" x14ac:dyDescent="0.3">
      <c r="A9" s="276"/>
      <c r="B9" s="65" t="s">
        <v>16</v>
      </c>
      <c r="C9" s="485"/>
      <c r="D9" s="307" t="s">
        <v>282</v>
      </c>
      <c r="E9" s="87" t="s">
        <v>14</v>
      </c>
      <c r="F9" s="201">
        <f>F7</f>
        <v>111.5</v>
      </c>
      <c r="G9" s="238"/>
      <c r="H9" s="90"/>
      <c r="I9" s="90"/>
      <c r="J9" s="89"/>
      <c r="K9" s="334"/>
      <c r="L9" s="18"/>
    </row>
    <row r="10" spans="1:12" ht="120.75" customHeight="1" x14ac:dyDescent="0.3">
      <c r="A10" s="276"/>
      <c r="B10" s="336" t="s">
        <v>283</v>
      </c>
      <c r="C10" s="485"/>
      <c r="D10" s="391" t="s">
        <v>313</v>
      </c>
      <c r="E10" s="392"/>
      <c r="F10" s="392"/>
      <c r="G10" s="392"/>
      <c r="H10" s="392"/>
      <c r="I10" s="392"/>
      <c r="J10" s="393"/>
      <c r="K10" s="18"/>
      <c r="L10" s="18"/>
    </row>
    <row r="11" spans="1:12" ht="102" customHeight="1" x14ac:dyDescent="0.3">
      <c r="A11" s="276"/>
      <c r="B11" s="321"/>
      <c r="C11" s="485"/>
      <c r="D11" s="284" t="s">
        <v>409</v>
      </c>
      <c r="E11" s="285" t="s">
        <v>14</v>
      </c>
      <c r="F11" s="286">
        <f>F9</f>
        <v>111.5</v>
      </c>
      <c r="G11" s="481" t="s">
        <v>315</v>
      </c>
      <c r="H11" s="482"/>
      <c r="I11" s="482"/>
      <c r="J11" s="483"/>
      <c r="K11" s="339"/>
      <c r="L11" s="18"/>
    </row>
    <row r="12" spans="1:12" ht="30" customHeight="1" x14ac:dyDescent="0.3">
      <c r="A12" s="276"/>
      <c r="B12" s="204"/>
      <c r="C12" s="485"/>
      <c r="D12" s="307" t="s">
        <v>19</v>
      </c>
      <c r="E12" s="26"/>
      <c r="F12" s="38"/>
      <c r="G12" s="28"/>
      <c r="H12" s="25"/>
      <c r="I12" s="25"/>
      <c r="J12" s="98">
        <f>J13+J34+J35</f>
        <v>364989687</v>
      </c>
      <c r="K12" s="18"/>
      <c r="L12" s="18"/>
    </row>
    <row r="13" spans="1:12" ht="30" customHeight="1" x14ac:dyDescent="0.3">
      <c r="A13" s="276"/>
      <c r="B13" s="66" t="s">
        <v>17</v>
      </c>
      <c r="C13" s="485"/>
      <c r="D13" s="307" t="s">
        <v>20</v>
      </c>
      <c r="E13" s="26"/>
      <c r="F13" s="38"/>
      <c r="G13" s="28"/>
      <c r="H13" s="25"/>
      <c r="I13" s="25"/>
      <c r="J13" s="98">
        <f>SUM(J15:J33)</f>
        <v>355454687</v>
      </c>
      <c r="K13" s="18"/>
      <c r="L13" s="18"/>
    </row>
    <row r="14" spans="1:12" ht="291" customHeight="1" x14ac:dyDescent="0.3">
      <c r="A14" s="276"/>
      <c r="B14" s="22" t="s">
        <v>18</v>
      </c>
      <c r="C14" s="485"/>
      <c r="D14" s="394" t="s">
        <v>473</v>
      </c>
      <c r="E14" s="406"/>
      <c r="F14" s="406"/>
      <c r="G14" s="406"/>
      <c r="H14" s="406"/>
      <c r="I14" s="406"/>
      <c r="J14" s="407"/>
      <c r="K14" s="21"/>
      <c r="L14" s="21"/>
    </row>
    <row r="15" spans="1:12" ht="145.5" customHeight="1" x14ac:dyDescent="0.3">
      <c r="A15" s="276"/>
      <c r="B15" s="458"/>
      <c r="C15" s="485"/>
      <c r="D15" s="309" t="s">
        <v>383</v>
      </c>
      <c r="E15" s="26"/>
      <c r="F15" s="240"/>
      <c r="G15" s="28"/>
      <c r="H15" s="107"/>
      <c r="I15" s="25"/>
      <c r="J15" s="24"/>
      <c r="K15" s="18"/>
      <c r="L15" s="18"/>
    </row>
    <row r="16" spans="1:12" ht="39" customHeight="1" x14ac:dyDescent="0.3">
      <c r="A16" s="276"/>
      <c r="B16" s="458"/>
      <c r="C16" s="485"/>
      <c r="D16" s="310" t="s">
        <v>384</v>
      </c>
      <c r="E16" s="20" t="s">
        <v>21</v>
      </c>
      <c r="F16" s="109">
        <f>4.8*5.2</f>
        <v>24.96</v>
      </c>
      <c r="G16" s="28">
        <f>ROUND((3958967*1.12+3958967*15%),0)</f>
        <v>5027888</v>
      </c>
      <c r="H16" s="107"/>
      <c r="I16" s="25">
        <v>0.7</v>
      </c>
      <c r="J16" s="24">
        <f>ROUND((F16*G16*I16),0)</f>
        <v>87847259</v>
      </c>
      <c r="K16" s="18"/>
      <c r="L16" s="18"/>
    </row>
    <row r="17" spans="1:14" ht="206.25" x14ac:dyDescent="0.3">
      <c r="A17" s="276"/>
      <c r="B17" s="458"/>
      <c r="C17" s="485"/>
      <c r="D17" s="311" t="s">
        <v>385</v>
      </c>
      <c r="E17" s="107"/>
      <c r="F17" s="106"/>
      <c r="G17" s="106"/>
      <c r="H17" s="107"/>
      <c r="I17" s="107"/>
      <c r="J17" s="107"/>
      <c r="K17" s="18"/>
      <c r="L17" s="18"/>
    </row>
    <row r="18" spans="1:14" ht="37.5" x14ac:dyDescent="0.3">
      <c r="A18" s="276"/>
      <c r="B18" s="458"/>
      <c r="C18" s="485"/>
      <c r="D18" s="310" t="s">
        <v>386</v>
      </c>
      <c r="E18" s="20" t="s">
        <v>175</v>
      </c>
      <c r="F18" s="312">
        <f>0.2*4.8*5.2</f>
        <v>4.992</v>
      </c>
      <c r="G18" s="28">
        <v>3096280</v>
      </c>
      <c r="H18" s="107"/>
      <c r="I18" s="25">
        <v>0.7</v>
      </c>
      <c r="J18" s="24">
        <f>ROUND((F18*G18*I18),0)</f>
        <v>10819641</v>
      </c>
      <c r="K18" s="18"/>
      <c r="L18" s="18"/>
    </row>
    <row r="19" spans="1:14" ht="78.75" x14ac:dyDescent="0.3">
      <c r="A19" s="276"/>
      <c r="B19" s="458"/>
      <c r="C19" s="485"/>
      <c r="D19" s="313" t="s">
        <v>387</v>
      </c>
      <c r="E19" s="107"/>
      <c r="F19" s="103"/>
      <c r="G19" s="106"/>
      <c r="H19" s="107"/>
      <c r="I19" s="107"/>
      <c r="J19" s="107"/>
      <c r="K19" s="18"/>
      <c r="L19" s="18"/>
    </row>
    <row r="20" spans="1:14" ht="75" customHeight="1" x14ac:dyDescent="0.3">
      <c r="A20" s="276"/>
      <c r="B20" s="458"/>
      <c r="C20" s="485"/>
      <c r="D20" s="309" t="s">
        <v>388</v>
      </c>
      <c r="E20" s="20" t="s">
        <v>21</v>
      </c>
      <c r="F20" s="101">
        <f>4.8*8.3</f>
        <v>39.840000000000003</v>
      </c>
      <c r="G20" s="28">
        <f>ROUND((3958967*1.12+3958967*15%),0)</f>
        <v>5027888</v>
      </c>
      <c r="H20" s="107"/>
      <c r="I20" s="25">
        <v>0.7</v>
      </c>
      <c r="J20" s="24">
        <f>ROUND((F20*G20*I20),0)</f>
        <v>140217741</v>
      </c>
      <c r="K20" s="18"/>
      <c r="L20" s="18"/>
    </row>
    <row r="21" spans="1:14" ht="56.25" customHeight="1" x14ac:dyDescent="0.3">
      <c r="A21" s="214"/>
      <c r="B21" s="458"/>
      <c r="C21" s="485"/>
      <c r="D21" s="311" t="s">
        <v>389</v>
      </c>
      <c r="E21" s="107"/>
      <c r="F21" s="106"/>
      <c r="G21" s="106"/>
      <c r="H21" s="107"/>
      <c r="I21" s="107"/>
      <c r="J21" s="107"/>
      <c r="K21" s="18"/>
      <c r="L21" s="18"/>
    </row>
    <row r="22" spans="1:14" ht="37.5" x14ac:dyDescent="0.3">
      <c r="A22" s="276"/>
      <c r="B22" s="458"/>
      <c r="C22" s="485"/>
      <c r="D22" s="310" t="s">
        <v>390</v>
      </c>
      <c r="E22" s="20" t="s">
        <v>175</v>
      </c>
      <c r="F22" s="312">
        <f>1*4.8*8.3</f>
        <v>39.840000000000003</v>
      </c>
      <c r="G22" s="28">
        <v>3096280</v>
      </c>
      <c r="H22" s="107"/>
      <c r="I22" s="25">
        <v>0.7</v>
      </c>
      <c r="J22" s="24">
        <f>ROUND((F22*G22*I22),0)</f>
        <v>86349057</v>
      </c>
      <c r="K22" s="18"/>
      <c r="L22" s="18"/>
    </row>
    <row r="23" spans="1:14" ht="78.75" x14ac:dyDescent="0.3">
      <c r="A23" s="276"/>
      <c r="B23" s="458"/>
      <c r="C23" s="485"/>
      <c r="D23" s="314" t="s">
        <v>387</v>
      </c>
      <c r="E23" s="107"/>
      <c r="F23" s="106"/>
      <c r="G23" s="106"/>
      <c r="H23" s="107"/>
      <c r="I23" s="107"/>
      <c r="J23" s="107"/>
      <c r="K23" s="18"/>
      <c r="L23" s="18"/>
      <c r="N23" s="315">
        <f>3574642*8.5%</f>
        <v>303844.57</v>
      </c>
    </row>
    <row r="24" spans="1:14" ht="37.5" x14ac:dyDescent="0.3">
      <c r="A24" s="214"/>
      <c r="B24" s="458"/>
      <c r="C24" s="485"/>
      <c r="D24" s="316" t="s">
        <v>391</v>
      </c>
      <c r="E24" s="26" t="s">
        <v>132</v>
      </c>
      <c r="F24" s="109">
        <v>1.4</v>
      </c>
      <c r="G24" s="28">
        <v>3855960</v>
      </c>
      <c r="H24" s="25"/>
      <c r="I24" s="25">
        <v>1</v>
      </c>
      <c r="J24" s="24">
        <f>ROUND((F24*G24*I24),0)</f>
        <v>5398344</v>
      </c>
      <c r="K24" s="18"/>
      <c r="L24" s="18"/>
    </row>
    <row r="25" spans="1:14" ht="75" x14ac:dyDescent="0.3">
      <c r="A25" s="214"/>
      <c r="B25" s="458"/>
      <c r="C25" s="485"/>
      <c r="D25" s="318" t="s">
        <v>392</v>
      </c>
      <c r="E25" s="26"/>
      <c r="F25" s="337"/>
      <c r="G25" s="337"/>
      <c r="H25" s="67"/>
      <c r="I25" s="67"/>
      <c r="J25" s="67"/>
      <c r="K25" s="18"/>
      <c r="L25" s="18"/>
    </row>
    <row r="26" spans="1:14" ht="56.25" x14ac:dyDescent="0.3">
      <c r="A26" s="214"/>
      <c r="B26" s="458"/>
      <c r="C26" s="485"/>
      <c r="D26" s="310" t="s">
        <v>393</v>
      </c>
      <c r="E26" s="26" t="s">
        <v>132</v>
      </c>
      <c r="F26" s="109">
        <v>6.1</v>
      </c>
      <c r="G26" s="28">
        <v>2180272</v>
      </c>
      <c r="H26" s="107"/>
      <c r="I26" s="25">
        <v>1</v>
      </c>
      <c r="J26" s="24">
        <f>ROUND((F26*G26*I26),0)</f>
        <v>13299659</v>
      </c>
      <c r="K26" s="18"/>
      <c r="L26" s="18"/>
    </row>
    <row r="27" spans="1:14" s="245" customFormat="1" ht="93.75" customHeight="1" x14ac:dyDescent="0.3">
      <c r="A27" s="214"/>
      <c r="B27" s="458"/>
      <c r="C27" s="485"/>
      <c r="D27" s="314" t="s">
        <v>394</v>
      </c>
      <c r="E27" s="107"/>
      <c r="F27" s="106"/>
      <c r="G27" s="106"/>
      <c r="H27" s="107"/>
      <c r="I27" s="107"/>
      <c r="J27" s="107"/>
      <c r="K27" s="18"/>
      <c r="L27" s="18"/>
    </row>
    <row r="28" spans="1:14" ht="41.25" x14ac:dyDescent="0.3">
      <c r="A28" s="214"/>
      <c r="B28" s="458"/>
      <c r="C28" s="485"/>
      <c r="D28" s="310" t="s">
        <v>395</v>
      </c>
      <c r="E28" s="26" t="s">
        <v>396</v>
      </c>
      <c r="F28" s="109">
        <v>2.09</v>
      </c>
      <c r="G28" s="28">
        <f>1259097-1259097*15%</f>
        <v>1070232.45</v>
      </c>
      <c r="H28" s="107"/>
      <c r="I28" s="25">
        <v>0.7</v>
      </c>
      <c r="J28" s="24">
        <f>ROUND((F28*G28*I28),0)</f>
        <v>1565750</v>
      </c>
      <c r="K28" s="18"/>
      <c r="L28" s="18"/>
    </row>
    <row r="29" spans="1:14" ht="156.75" customHeight="1" x14ac:dyDescent="0.3">
      <c r="A29" s="214"/>
      <c r="B29" s="458"/>
      <c r="C29" s="485"/>
      <c r="D29" s="319" t="s">
        <v>397</v>
      </c>
      <c r="E29" s="107"/>
      <c r="F29" s="106"/>
      <c r="G29" s="106"/>
      <c r="H29" s="107"/>
      <c r="I29" s="107"/>
      <c r="J29" s="107"/>
      <c r="K29" s="18"/>
      <c r="L29" s="18"/>
    </row>
    <row r="30" spans="1:14" ht="47.25" customHeight="1" x14ac:dyDescent="0.3">
      <c r="A30" s="214"/>
      <c r="B30" s="458"/>
      <c r="C30" s="485"/>
      <c r="D30" s="316" t="s">
        <v>398</v>
      </c>
      <c r="E30" s="26" t="s">
        <v>132</v>
      </c>
      <c r="F30" s="109">
        <v>0.95</v>
      </c>
      <c r="G30" s="317">
        <v>3855960</v>
      </c>
      <c r="H30" s="107"/>
      <c r="I30" s="25">
        <v>1</v>
      </c>
      <c r="J30" s="24">
        <f>ROUND((F30*G30*I30),0)</f>
        <v>3663162</v>
      </c>
      <c r="K30" s="339"/>
      <c r="L30" s="18"/>
    </row>
    <row r="31" spans="1:14" ht="75" x14ac:dyDescent="0.3">
      <c r="A31" s="214"/>
      <c r="B31" s="458"/>
      <c r="C31" s="485"/>
      <c r="D31" s="318" t="s">
        <v>392</v>
      </c>
      <c r="E31" s="107"/>
      <c r="F31" s="106"/>
      <c r="G31" s="106"/>
      <c r="H31" s="107"/>
      <c r="I31" s="107"/>
      <c r="J31" s="107"/>
      <c r="K31" s="18"/>
      <c r="L31" s="18"/>
    </row>
    <row r="32" spans="1:14" ht="37.5" x14ac:dyDescent="0.3">
      <c r="A32" s="214"/>
      <c r="B32" s="458"/>
      <c r="C32" s="485"/>
      <c r="D32" s="310" t="s">
        <v>399</v>
      </c>
      <c r="E32" s="26" t="s">
        <v>132</v>
      </c>
      <c r="F32" s="109">
        <v>11.7</v>
      </c>
      <c r="G32" s="28">
        <v>537955</v>
      </c>
      <c r="H32" s="107"/>
      <c r="I32" s="25">
        <v>1</v>
      </c>
      <c r="J32" s="24">
        <f>ROUND((F32*G32*I32),0)</f>
        <v>6294074</v>
      </c>
      <c r="K32" s="18"/>
      <c r="L32" s="18"/>
    </row>
    <row r="33" spans="1:12" ht="75" x14ac:dyDescent="0.3">
      <c r="A33" s="214"/>
      <c r="B33" s="458"/>
      <c r="C33" s="485"/>
      <c r="D33" s="314" t="s">
        <v>400</v>
      </c>
      <c r="E33" s="107"/>
      <c r="F33" s="103"/>
      <c r="G33" s="106"/>
      <c r="H33" s="107"/>
      <c r="I33" s="107"/>
      <c r="J33" s="107"/>
      <c r="K33" s="18"/>
      <c r="L33" s="18"/>
    </row>
    <row r="34" spans="1:12" ht="18.75" x14ac:dyDescent="0.25">
      <c r="B34" s="458"/>
      <c r="C34" s="485"/>
      <c r="D34" s="307" t="s">
        <v>22</v>
      </c>
      <c r="E34" s="26"/>
      <c r="F34" s="38"/>
      <c r="G34" s="28"/>
      <c r="H34" s="25"/>
      <c r="I34" s="25"/>
      <c r="J34" s="98">
        <v>0</v>
      </c>
      <c r="K34" s="204"/>
      <c r="L34" s="204"/>
    </row>
    <row r="35" spans="1:12" ht="18.75" x14ac:dyDescent="0.25">
      <c r="B35" s="458"/>
      <c r="C35" s="485"/>
      <c r="D35" s="307" t="s">
        <v>23</v>
      </c>
      <c r="E35" s="26"/>
      <c r="F35" s="38"/>
      <c r="G35" s="28"/>
      <c r="H35" s="25"/>
      <c r="I35" s="25"/>
      <c r="J35" s="98">
        <f>SUM(J37:J43)</f>
        <v>9535000</v>
      </c>
      <c r="K35" s="204"/>
      <c r="L35" s="204"/>
    </row>
    <row r="36" spans="1:12" ht="129.75" customHeight="1" x14ac:dyDescent="0.3">
      <c r="B36" s="458"/>
      <c r="C36" s="485"/>
      <c r="D36" s="440" t="s">
        <v>401</v>
      </c>
      <c r="E36" s="441"/>
      <c r="F36" s="441"/>
      <c r="G36" s="441"/>
      <c r="H36" s="441"/>
      <c r="I36" s="441"/>
      <c r="J36" s="442"/>
      <c r="K36" s="248"/>
      <c r="L36" s="248"/>
    </row>
    <row r="37" spans="1:12" ht="37.5" x14ac:dyDescent="0.25">
      <c r="B37" s="458"/>
      <c r="C37" s="485"/>
      <c r="D37" s="310" t="s">
        <v>402</v>
      </c>
      <c r="E37" s="26" t="s">
        <v>24</v>
      </c>
      <c r="F37" s="249">
        <v>1</v>
      </c>
      <c r="G37" s="28">
        <v>353000</v>
      </c>
      <c r="H37" s="25">
        <v>1</v>
      </c>
      <c r="I37" s="25"/>
      <c r="J37" s="24">
        <f>ROUND((F37*G37*H37),0)</f>
        <v>353000</v>
      </c>
      <c r="K37" s="340"/>
      <c r="L37" s="204"/>
    </row>
    <row r="38" spans="1:12" ht="37.5" x14ac:dyDescent="0.25">
      <c r="B38" s="458"/>
      <c r="C38" s="485"/>
      <c r="D38" s="310" t="s">
        <v>403</v>
      </c>
      <c r="E38" s="26" t="s">
        <v>24</v>
      </c>
      <c r="F38" s="249">
        <v>1</v>
      </c>
      <c r="G38" s="28">
        <v>4933000</v>
      </c>
      <c r="H38" s="25">
        <v>1</v>
      </c>
      <c r="I38" s="25"/>
      <c r="J38" s="24">
        <f>ROUND((F38*G38*H38),0)</f>
        <v>4933000</v>
      </c>
      <c r="K38" s="204"/>
      <c r="L38" s="204"/>
    </row>
    <row r="39" spans="1:12" ht="37.5" x14ac:dyDescent="0.25">
      <c r="B39" s="458"/>
      <c r="C39" s="485"/>
      <c r="D39" s="310" t="s">
        <v>404</v>
      </c>
      <c r="E39" s="26" t="s">
        <v>24</v>
      </c>
      <c r="F39" s="249">
        <v>2</v>
      </c>
      <c r="G39" s="28">
        <v>1375000</v>
      </c>
      <c r="H39" s="25">
        <v>1</v>
      </c>
      <c r="I39" s="25"/>
      <c r="J39" s="24">
        <f>ROUND((F39*G39*H39),0)</f>
        <v>2750000</v>
      </c>
      <c r="K39" s="204"/>
      <c r="L39" s="204"/>
    </row>
    <row r="40" spans="1:12" ht="37.5" x14ac:dyDescent="0.25">
      <c r="B40" s="458"/>
      <c r="C40" s="485"/>
      <c r="D40" s="310" t="s">
        <v>405</v>
      </c>
      <c r="E40" s="26" t="s">
        <v>24</v>
      </c>
      <c r="F40" s="249">
        <v>1</v>
      </c>
      <c r="G40" s="28">
        <v>824000</v>
      </c>
      <c r="H40" s="25">
        <v>1</v>
      </c>
      <c r="I40" s="25"/>
      <c r="J40" s="24">
        <f>ROUND((F40*G40*H40),0)</f>
        <v>824000</v>
      </c>
      <c r="K40" s="204"/>
      <c r="L40" s="204"/>
    </row>
    <row r="41" spans="1:12" ht="37.5" x14ac:dyDescent="0.25">
      <c r="B41" s="458"/>
      <c r="C41" s="485"/>
      <c r="D41" s="310" t="s">
        <v>406</v>
      </c>
      <c r="E41" s="26" t="s">
        <v>24</v>
      </c>
      <c r="F41" s="249">
        <v>1</v>
      </c>
      <c r="G41" s="28">
        <v>125000</v>
      </c>
      <c r="H41" s="25">
        <v>1</v>
      </c>
      <c r="I41" s="25"/>
      <c r="J41" s="24">
        <f t="shared" ref="J41:J43" si="0">ROUND((F41*G41*H41),0)</f>
        <v>125000</v>
      </c>
      <c r="K41" s="340"/>
      <c r="L41" s="204"/>
    </row>
    <row r="42" spans="1:12" ht="37.5" x14ac:dyDescent="0.25">
      <c r="B42" s="458"/>
      <c r="C42" s="485"/>
      <c r="D42" s="310" t="s">
        <v>407</v>
      </c>
      <c r="E42" s="26" t="s">
        <v>24</v>
      </c>
      <c r="F42" s="249">
        <v>2</v>
      </c>
      <c r="G42" s="28">
        <v>161000</v>
      </c>
      <c r="H42" s="25">
        <v>1</v>
      </c>
      <c r="I42" s="25"/>
      <c r="J42" s="24">
        <f t="shared" si="0"/>
        <v>322000</v>
      </c>
      <c r="K42" s="340"/>
      <c r="L42" s="204"/>
    </row>
    <row r="43" spans="1:12" ht="56.25" x14ac:dyDescent="0.25">
      <c r="B43" s="458"/>
      <c r="C43" s="485"/>
      <c r="D43" s="310" t="s">
        <v>408</v>
      </c>
      <c r="E43" s="26" t="s">
        <v>24</v>
      </c>
      <c r="F43" s="249">
        <v>1</v>
      </c>
      <c r="G43" s="28">
        <v>228000</v>
      </c>
      <c r="H43" s="25">
        <v>1</v>
      </c>
      <c r="I43" s="25"/>
      <c r="J43" s="24">
        <f t="shared" si="0"/>
        <v>228000</v>
      </c>
      <c r="K43" s="340"/>
      <c r="L43" s="204"/>
    </row>
    <row r="44" spans="1:12" ht="18.75" x14ac:dyDescent="0.3">
      <c r="B44" s="458"/>
      <c r="C44" s="485"/>
      <c r="D44" s="19" t="s">
        <v>25</v>
      </c>
      <c r="E44" s="26"/>
      <c r="F44" s="27"/>
      <c r="G44" s="186"/>
      <c r="H44" s="187"/>
      <c r="I44" s="187"/>
      <c r="J44" s="29">
        <v>0</v>
      </c>
      <c r="K44" s="18"/>
      <c r="L44" s="204"/>
    </row>
    <row r="45" spans="1:12" ht="18.75" x14ac:dyDescent="0.3">
      <c r="B45" s="458"/>
      <c r="C45" s="485"/>
      <c r="D45" s="30" t="s">
        <v>318</v>
      </c>
      <c r="E45" s="31"/>
      <c r="F45" s="32"/>
      <c r="G45" s="188"/>
      <c r="H45" s="189"/>
      <c r="I45" s="189"/>
      <c r="J45" s="33">
        <f>SUM(J46:J48)</f>
        <v>0</v>
      </c>
      <c r="K45" s="18"/>
      <c r="L45" s="204"/>
    </row>
    <row r="46" spans="1:12" ht="158.25" customHeight="1" x14ac:dyDescent="0.3">
      <c r="B46" s="458"/>
      <c r="C46" s="485"/>
      <c r="D46" s="68" t="s">
        <v>470</v>
      </c>
      <c r="E46" s="460" t="s">
        <v>319</v>
      </c>
      <c r="F46" s="461"/>
      <c r="G46" s="461"/>
      <c r="H46" s="461"/>
      <c r="I46" s="462"/>
      <c r="J46" s="246">
        <v>0</v>
      </c>
      <c r="K46" s="18"/>
      <c r="L46" s="204"/>
    </row>
    <row r="47" spans="1:12" ht="154.5" customHeight="1" x14ac:dyDescent="0.3">
      <c r="B47" s="458"/>
      <c r="C47" s="485"/>
      <c r="D47" s="282" t="s">
        <v>469</v>
      </c>
      <c r="E47" s="463" t="s">
        <v>320</v>
      </c>
      <c r="F47" s="464"/>
      <c r="G47" s="464"/>
      <c r="H47" s="464"/>
      <c r="I47" s="465"/>
      <c r="J47" s="188">
        <v>0</v>
      </c>
      <c r="K47" s="18"/>
      <c r="L47" s="204"/>
    </row>
    <row r="48" spans="1:12" ht="18.75" x14ac:dyDescent="0.3">
      <c r="B48" s="458"/>
      <c r="C48" s="485"/>
      <c r="D48" s="68" t="s">
        <v>321</v>
      </c>
      <c r="E48" s="289"/>
      <c r="F48" s="289"/>
      <c r="G48" s="289"/>
      <c r="H48" s="289"/>
      <c r="I48" s="289"/>
      <c r="J48" s="59">
        <v>0</v>
      </c>
      <c r="K48" s="18"/>
      <c r="L48" s="204"/>
    </row>
    <row r="49" spans="2:12" ht="37.5" x14ac:dyDescent="0.3">
      <c r="B49" s="458"/>
      <c r="C49" s="485"/>
      <c r="D49" s="39" t="s">
        <v>322</v>
      </c>
      <c r="E49" s="40"/>
      <c r="F49" s="41"/>
      <c r="G49" s="42"/>
      <c r="H49" s="43"/>
      <c r="I49" s="43"/>
      <c r="J49" s="44">
        <f>J5+J12+J44+J45</f>
        <v>364989687</v>
      </c>
      <c r="K49" s="18"/>
      <c r="L49" s="204"/>
    </row>
    <row r="50" spans="2:12" ht="18.75" x14ac:dyDescent="0.3">
      <c r="B50" s="458"/>
      <c r="C50" s="485"/>
      <c r="D50" s="19" t="s">
        <v>27</v>
      </c>
      <c r="E50" s="31"/>
      <c r="F50" s="45"/>
      <c r="G50" s="37"/>
      <c r="H50" s="37"/>
      <c r="I50" s="37"/>
      <c r="J50" s="33">
        <f>J52</f>
        <v>8000000</v>
      </c>
      <c r="K50" s="18"/>
      <c r="L50" s="204"/>
    </row>
    <row r="51" spans="2:12" ht="65.25" customHeight="1" x14ac:dyDescent="0.25">
      <c r="B51" s="458"/>
      <c r="C51" s="485"/>
      <c r="D51" s="343" t="s">
        <v>324</v>
      </c>
      <c r="E51" s="343"/>
      <c r="F51" s="343"/>
      <c r="G51" s="343"/>
      <c r="H51" s="343"/>
      <c r="I51" s="343"/>
      <c r="J51" s="343"/>
      <c r="K51" s="341"/>
      <c r="L51" s="204"/>
    </row>
    <row r="52" spans="2:12" ht="186" customHeight="1" x14ac:dyDescent="0.25">
      <c r="B52" s="458"/>
      <c r="C52" s="485"/>
      <c r="D52" s="47" t="s">
        <v>342</v>
      </c>
      <c r="E52" s="40" t="s">
        <v>30</v>
      </c>
      <c r="F52" s="42">
        <v>1</v>
      </c>
      <c r="G52" s="28">
        <f>IF(J49*10%&gt;=8000000,8000000,IF(J49*10%&lt;=1000000,1000000,J49*10%))</f>
        <v>8000000</v>
      </c>
      <c r="H52" s="43"/>
      <c r="I52" s="43"/>
      <c r="J52" s="42">
        <f>F52*G52</f>
        <v>8000000</v>
      </c>
      <c r="K52" s="52"/>
      <c r="L52" s="204"/>
    </row>
    <row r="53" spans="2:12" ht="37.5" x14ac:dyDescent="0.25">
      <c r="B53" s="458"/>
      <c r="C53" s="485"/>
      <c r="D53" s="39" t="s">
        <v>31</v>
      </c>
      <c r="E53" s="40"/>
      <c r="F53" s="256"/>
      <c r="G53" s="28"/>
      <c r="H53" s="43"/>
      <c r="I53" s="43"/>
      <c r="J53" s="42"/>
      <c r="K53" s="342">
        <f>SUM(J49:J50)</f>
        <v>372989687</v>
      </c>
      <c r="L53" s="204"/>
    </row>
    <row r="54" spans="2:12" ht="16.5" customHeight="1" x14ac:dyDescent="0.25">
      <c r="B54" s="458"/>
      <c r="C54" s="485"/>
      <c r="D54" s="257" t="s">
        <v>32</v>
      </c>
      <c r="E54" s="258"/>
      <c r="F54" s="259"/>
      <c r="G54" s="260"/>
      <c r="H54" s="257"/>
      <c r="I54" s="257"/>
      <c r="J54" s="257"/>
      <c r="K54" s="204"/>
      <c r="L54" s="204"/>
    </row>
    <row r="55" spans="2:12" ht="15" customHeight="1" x14ac:dyDescent="0.25">
      <c r="B55" s="458"/>
      <c r="C55" s="485"/>
      <c r="D55" s="466" t="s">
        <v>33</v>
      </c>
      <c r="E55" s="469"/>
      <c r="F55" s="472" t="s">
        <v>34</v>
      </c>
      <c r="G55" s="473"/>
      <c r="H55" s="473"/>
      <c r="I55" s="473"/>
      <c r="J55" s="474"/>
      <c r="K55" s="444"/>
      <c r="L55" s="444"/>
    </row>
    <row r="56" spans="2:12" ht="15" customHeight="1" x14ac:dyDescent="0.25">
      <c r="B56" s="458"/>
      <c r="C56" s="485"/>
      <c r="D56" s="467"/>
      <c r="E56" s="470"/>
      <c r="F56" s="475"/>
      <c r="G56" s="476"/>
      <c r="H56" s="476"/>
      <c r="I56" s="476"/>
      <c r="J56" s="477"/>
      <c r="K56" s="444"/>
      <c r="L56" s="444"/>
    </row>
    <row r="57" spans="2:12" ht="15" customHeight="1" x14ac:dyDescent="0.25">
      <c r="B57" s="458"/>
      <c r="C57" s="485"/>
      <c r="D57" s="467"/>
      <c r="E57" s="470"/>
      <c r="F57" s="475"/>
      <c r="G57" s="476"/>
      <c r="H57" s="476"/>
      <c r="I57" s="476"/>
      <c r="J57" s="477"/>
      <c r="K57" s="444"/>
      <c r="L57" s="444"/>
    </row>
    <row r="58" spans="2:12" ht="15" customHeight="1" x14ac:dyDescent="0.25">
      <c r="B58" s="458"/>
      <c r="C58" s="485"/>
      <c r="D58" s="467"/>
      <c r="E58" s="470"/>
      <c r="F58" s="475"/>
      <c r="G58" s="476"/>
      <c r="H58" s="476"/>
      <c r="I58" s="476"/>
      <c r="J58" s="477"/>
      <c r="K58" s="444"/>
      <c r="L58" s="444"/>
    </row>
    <row r="59" spans="2:12" ht="15" customHeight="1" x14ac:dyDescent="0.25">
      <c r="B59" s="458"/>
      <c r="C59" s="485"/>
      <c r="D59" s="467"/>
      <c r="E59" s="470"/>
      <c r="F59" s="475"/>
      <c r="G59" s="476"/>
      <c r="H59" s="476"/>
      <c r="I59" s="476"/>
      <c r="J59" s="477"/>
      <c r="K59" s="444"/>
      <c r="L59" s="444"/>
    </row>
    <row r="60" spans="2:12" ht="15" customHeight="1" x14ac:dyDescent="0.25">
      <c r="B60" s="458"/>
      <c r="C60" s="485"/>
      <c r="D60" s="467"/>
      <c r="E60" s="470"/>
      <c r="F60" s="475"/>
      <c r="G60" s="476"/>
      <c r="H60" s="476"/>
      <c r="I60" s="476"/>
      <c r="J60" s="477"/>
      <c r="K60" s="444"/>
      <c r="L60" s="444"/>
    </row>
    <row r="61" spans="2:12" ht="15" customHeight="1" x14ac:dyDescent="0.25">
      <c r="B61" s="459"/>
      <c r="C61" s="486"/>
      <c r="D61" s="468"/>
      <c r="E61" s="471"/>
      <c r="F61" s="478"/>
      <c r="G61" s="479"/>
      <c r="H61" s="479"/>
      <c r="I61" s="479"/>
      <c r="J61" s="480"/>
      <c r="K61" s="445"/>
      <c r="L61" s="445"/>
    </row>
    <row r="65" s="99" customFormat="1" x14ac:dyDescent="0.25"/>
    <row r="66" s="99" customFormat="1" x14ac:dyDescent="0.25"/>
    <row r="67" s="99" customFormat="1" x14ac:dyDescent="0.25"/>
    <row r="68" s="99" customFormat="1" x14ac:dyDescent="0.25"/>
    <row r="69" s="99" customFormat="1" x14ac:dyDescent="0.25"/>
    <row r="70" s="99" customFormat="1" x14ac:dyDescent="0.25"/>
    <row r="71" s="99" customFormat="1" x14ac:dyDescent="0.25"/>
    <row r="72" s="99" customFormat="1" x14ac:dyDescent="0.25"/>
    <row r="73" s="99" customFormat="1" x14ac:dyDescent="0.25"/>
    <row r="74" s="99" customFormat="1" x14ac:dyDescent="0.25"/>
    <row r="75" s="99" customFormat="1" x14ac:dyDescent="0.25"/>
    <row r="76" s="99" customFormat="1" x14ac:dyDescent="0.25"/>
    <row r="77" s="99" customFormat="1" x14ac:dyDescent="0.25"/>
    <row r="78" s="99" customFormat="1" x14ac:dyDescent="0.25"/>
    <row r="79" s="99" customFormat="1" x14ac:dyDescent="0.25"/>
    <row r="80" s="99" customFormat="1" x14ac:dyDescent="0.25"/>
    <row r="81" s="99" customFormat="1" x14ac:dyDescent="0.25"/>
    <row r="82" s="99" customFormat="1" x14ac:dyDescent="0.25"/>
  </sheetData>
  <mergeCells count="14">
    <mergeCell ref="B5:B8"/>
    <mergeCell ref="D10:J10"/>
    <mergeCell ref="G11:J11"/>
    <mergeCell ref="C4:C61"/>
    <mergeCell ref="K55:K61"/>
    <mergeCell ref="L55:L61"/>
    <mergeCell ref="D14:J14"/>
    <mergeCell ref="B15:B61"/>
    <mergeCell ref="D36:J36"/>
    <mergeCell ref="E46:I46"/>
    <mergeCell ref="E47:I47"/>
    <mergeCell ref="D55:D61"/>
    <mergeCell ref="E55:E61"/>
    <mergeCell ref="F55:J61"/>
  </mergeCells>
  <pageMargins left="0.7" right="0.7" top="0.75" bottom="0.75" header="0.3" footer="0.3"/>
  <pageSetup paperSize="9" scale="55"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topLeftCell="A4" zoomScale="70" zoomScaleNormal="70" workbookViewId="0">
      <selection activeCell="D10" sqref="D10:J10"/>
    </sheetView>
  </sheetViews>
  <sheetFormatPr defaultColWidth="9" defaultRowHeight="15" x14ac:dyDescent="0.25"/>
  <cols>
    <col min="1" max="1" width="4.85546875" style="99" customWidth="1"/>
    <col min="2" max="2" width="24.7109375" style="99" customWidth="1"/>
    <col min="3" max="3" width="76" style="99" customWidth="1"/>
    <col min="4" max="4" width="55.5703125" style="99" customWidth="1"/>
    <col min="5" max="5" width="8.5703125" style="99" customWidth="1"/>
    <col min="6" max="6" width="9.42578125" style="99" customWidth="1"/>
    <col min="7" max="7" width="11.140625" style="99" customWidth="1"/>
    <col min="8" max="8" width="7.42578125" style="99" customWidth="1"/>
    <col min="9" max="9" width="11" style="99" customWidth="1"/>
    <col min="10" max="10" width="17.42578125" style="99" customWidth="1"/>
    <col min="11" max="11" width="15.5703125" style="99" customWidth="1"/>
    <col min="12" max="12" width="7" style="99" customWidth="1"/>
    <col min="13" max="16384" width="9" style="99"/>
  </cols>
  <sheetData>
    <row r="1" spans="1:12" ht="18.75" x14ac:dyDescent="0.3">
      <c r="A1" s="1" t="s">
        <v>0</v>
      </c>
      <c r="B1" s="2"/>
      <c r="C1" s="3"/>
      <c r="D1" s="3"/>
      <c r="E1" s="3"/>
      <c r="F1" s="3"/>
      <c r="G1" s="3"/>
      <c r="H1" s="3"/>
      <c r="I1" s="3"/>
      <c r="J1" s="3"/>
      <c r="K1" s="2"/>
      <c r="L1" s="2"/>
    </row>
    <row r="2" spans="1:12" ht="60.75" customHeight="1" x14ac:dyDescent="0.25">
      <c r="A2" s="4" t="s">
        <v>1</v>
      </c>
      <c r="B2" s="5" t="s">
        <v>2</v>
      </c>
      <c r="C2" s="6" t="s">
        <v>3</v>
      </c>
      <c r="D2" s="6" t="s">
        <v>4</v>
      </c>
      <c r="E2" s="6" t="s">
        <v>5</v>
      </c>
      <c r="F2" s="7" t="s">
        <v>6</v>
      </c>
      <c r="G2" s="8" t="s">
        <v>7</v>
      </c>
      <c r="H2" s="9" t="s">
        <v>8</v>
      </c>
      <c r="I2" s="9" t="s">
        <v>9</v>
      </c>
      <c r="J2" s="8" t="s">
        <v>10</v>
      </c>
      <c r="K2" s="10" t="s">
        <v>11</v>
      </c>
      <c r="L2" s="10" t="s">
        <v>12</v>
      </c>
    </row>
    <row r="3" spans="1:12" ht="18.75" x14ac:dyDescent="0.25">
      <c r="A3" s="11">
        <v>1</v>
      </c>
      <c r="B3" s="12">
        <v>2</v>
      </c>
      <c r="C3" s="13">
        <v>3</v>
      </c>
      <c r="D3" s="14">
        <v>4</v>
      </c>
      <c r="E3" s="13">
        <v>5</v>
      </c>
      <c r="F3" s="13">
        <v>6</v>
      </c>
      <c r="G3" s="13">
        <v>7</v>
      </c>
      <c r="H3" s="13">
        <v>8</v>
      </c>
      <c r="I3" s="13">
        <v>9</v>
      </c>
      <c r="J3" s="12">
        <v>10</v>
      </c>
      <c r="K3" s="14">
        <v>11</v>
      </c>
      <c r="L3" s="14">
        <v>12</v>
      </c>
    </row>
    <row r="4" spans="1:12" ht="45.75" customHeight="1" x14ac:dyDescent="0.3">
      <c r="A4" s="15">
        <v>12</v>
      </c>
      <c r="B4" s="211" t="s">
        <v>309</v>
      </c>
      <c r="C4" s="490" t="s">
        <v>476</v>
      </c>
      <c r="D4" s="78"/>
      <c r="E4" s="79"/>
      <c r="F4" s="79"/>
      <c r="G4" s="79"/>
      <c r="H4" s="79"/>
      <c r="I4" s="79"/>
      <c r="J4" s="80"/>
      <c r="K4" s="81"/>
      <c r="L4" s="17"/>
    </row>
    <row r="5" spans="1:12" ht="30" customHeight="1" x14ac:dyDescent="0.3">
      <c r="A5" s="18"/>
      <c r="B5" s="417" t="s">
        <v>310</v>
      </c>
      <c r="C5" s="491"/>
      <c r="D5" s="82" t="s">
        <v>13</v>
      </c>
      <c r="E5" s="83"/>
      <c r="F5" s="83"/>
      <c r="G5" s="83"/>
      <c r="H5" s="83"/>
      <c r="I5" s="83"/>
      <c r="J5" s="160">
        <f>J11</f>
        <v>0</v>
      </c>
      <c r="K5" s="86"/>
      <c r="L5" s="18"/>
    </row>
    <row r="6" spans="1:12" ht="30" customHeight="1" x14ac:dyDescent="0.3">
      <c r="A6" s="18"/>
      <c r="B6" s="418"/>
      <c r="C6" s="491"/>
      <c r="D6" s="19" t="s">
        <v>366</v>
      </c>
      <c r="E6" s="87" t="s">
        <v>14</v>
      </c>
      <c r="F6" s="201">
        <v>100</v>
      </c>
      <c r="G6" s="89"/>
      <c r="H6" s="90"/>
      <c r="I6" s="90"/>
      <c r="J6" s="89"/>
      <c r="K6" s="91"/>
      <c r="L6" s="18"/>
    </row>
    <row r="7" spans="1:12" ht="30" customHeight="1" x14ac:dyDescent="0.3">
      <c r="A7" s="18"/>
      <c r="B7" s="418"/>
      <c r="C7" s="491"/>
      <c r="D7" s="95" t="s">
        <v>228</v>
      </c>
      <c r="E7" s="20" t="s">
        <v>14</v>
      </c>
      <c r="F7" s="202">
        <v>100</v>
      </c>
      <c r="G7" s="94"/>
      <c r="H7" s="90"/>
      <c r="I7" s="90"/>
      <c r="J7" s="89"/>
      <c r="K7" s="91"/>
      <c r="L7" s="18"/>
    </row>
    <row r="8" spans="1:12" ht="30" customHeight="1" x14ac:dyDescent="0.3">
      <c r="A8" s="21"/>
      <c r="B8" s="418"/>
      <c r="C8" s="491"/>
      <c r="D8" s="95" t="s">
        <v>15</v>
      </c>
      <c r="E8" s="20" t="s">
        <v>14</v>
      </c>
      <c r="F8" s="202">
        <v>0</v>
      </c>
      <c r="G8" s="89"/>
      <c r="H8" s="90"/>
      <c r="I8" s="90"/>
      <c r="J8" s="94"/>
      <c r="K8" s="91"/>
      <c r="L8" s="18"/>
    </row>
    <row r="9" spans="1:12" ht="30" customHeight="1" x14ac:dyDescent="0.3">
      <c r="A9" s="21"/>
      <c r="B9" s="300"/>
      <c r="C9" s="491"/>
      <c r="D9" s="19" t="s">
        <v>367</v>
      </c>
      <c r="E9" s="87" t="s">
        <v>14</v>
      </c>
      <c r="F9" s="97">
        <f>SUM(F7)</f>
        <v>100</v>
      </c>
      <c r="G9" s="89"/>
      <c r="H9" s="90"/>
      <c r="I9" s="90"/>
      <c r="J9" s="89"/>
      <c r="K9" s="91"/>
      <c r="L9" s="18"/>
    </row>
    <row r="10" spans="1:12" ht="117" customHeight="1" x14ac:dyDescent="0.3">
      <c r="A10" s="21"/>
      <c r="B10" s="301" t="s">
        <v>312</v>
      </c>
      <c r="C10" s="491"/>
      <c r="D10" s="488" t="s">
        <v>313</v>
      </c>
      <c r="E10" s="488"/>
      <c r="F10" s="488"/>
      <c r="G10" s="488"/>
      <c r="H10" s="488"/>
      <c r="I10" s="488"/>
      <c r="J10" s="488"/>
      <c r="K10" s="23"/>
      <c r="L10" s="18"/>
    </row>
    <row r="11" spans="1:12" ht="99.75" customHeight="1" x14ac:dyDescent="0.3">
      <c r="A11" s="21"/>
      <c r="B11" s="218" t="s">
        <v>17</v>
      </c>
      <c r="C11" s="491"/>
      <c r="D11" s="284" t="s">
        <v>314</v>
      </c>
      <c r="E11" s="285" t="s">
        <v>14</v>
      </c>
      <c r="F11" s="286">
        <f>F9</f>
        <v>100</v>
      </c>
      <c r="G11" s="489" t="s">
        <v>315</v>
      </c>
      <c r="H11" s="489"/>
      <c r="I11" s="489"/>
      <c r="J11" s="489"/>
      <c r="K11" s="287"/>
      <c r="L11" s="18"/>
    </row>
    <row r="12" spans="1:12" ht="89.25" customHeight="1" x14ac:dyDescent="0.3">
      <c r="A12" s="21"/>
      <c r="B12" s="212" t="s">
        <v>18</v>
      </c>
      <c r="C12" s="491"/>
      <c r="D12" s="19" t="s">
        <v>19</v>
      </c>
      <c r="E12" s="26"/>
      <c r="F12" s="27"/>
      <c r="G12" s="24"/>
      <c r="H12" s="25"/>
      <c r="I12" s="25"/>
      <c r="J12" s="98">
        <f>SUM(J13:J15)</f>
        <v>0</v>
      </c>
      <c r="K12" s="23"/>
      <c r="L12" s="18"/>
    </row>
    <row r="13" spans="1:12" ht="23.25" customHeight="1" x14ac:dyDescent="0.3">
      <c r="A13" s="21"/>
      <c r="C13" s="491"/>
      <c r="D13" s="19" t="s">
        <v>316</v>
      </c>
      <c r="E13" s="26"/>
      <c r="F13" s="27"/>
      <c r="G13" s="24"/>
      <c r="H13" s="25"/>
      <c r="I13" s="25"/>
      <c r="J13" s="98">
        <v>0</v>
      </c>
      <c r="K13" s="23"/>
      <c r="L13" s="18"/>
    </row>
    <row r="14" spans="1:12" ht="18.75" x14ac:dyDescent="0.3">
      <c r="A14" s="21"/>
      <c r="C14" s="491"/>
      <c r="D14" s="179" t="s">
        <v>22</v>
      </c>
      <c r="E14" s="171"/>
      <c r="F14" s="169"/>
      <c r="G14" s="169"/>
      <c r="H14" s="171"/>
      <c r="I14" s="171"/>
      <c r="J14" s="180">
        <v>0</v>
      </c>
      <c r="K14" s="174"/>
      <c r="L14" s="174"/>
    </row>
    <row r="15" spans="1:12" ht="27.75" customHeight="1" x14ac:dyDescent="0.3">
      <c r="A15" s="21"/>
      <c r="C15" s="491"/>
      <c r="D15" s="19" t="s">
        <v>317</v>
      </c>
      <c r="E15" s="171"/>
      <c r="F15" s="169"/>
      <c r="G15" s="169"/>
      <c r="H15" s="171"/>
      <c r="I15" s="171"/>
      <c r="J15" s="98">
        <v>0</v>
      </c>
      <c r="K15" s="174"/>
      <c r="L15" s="181"/>
    </row>
    <row r="16" spans="1:12" ht="30" customHeight="1" x14ac:dyDescent="0.3">
      <c r="A16" s="21"/>
      <c r="C16" s="491"/>
      <c r="D16" s="19" t="s">
        <v>25</v>
      </c>
      <c r="E16" s="26"/>
      <c r="F16" s="27"/>
      <c r="G16" s="186"/>
      <c r="H16" s="187"/>
      <c r="I16" s="187"/>
      <c r="J16" s="29">
        <v>0</v>
      </c>
      <c r="K16" s="23"/>
      <c r="L16" s="18"/>
    </row>
    <row r="17" spans="1:13" ht="18.75" x14ac:dyDescent="0.3">
      <c r="A17" s="21"/>
      <c r="B17" s="212"/>
      <c r="C17" s="491"/>
      <c r="D17" s="30" t="s">
        <v>368</v>
      </c>
      <c r="E17" s="31"/>
      <c r="F17" s="32"/>
      <c r="G17" s="188"/>
      <c r="H17" s="189"/>
      <c r="I17" s="189"/>
      <c r="J17" s="33">
        <f>SUM(J18:J19)</f>
        <v>0</v>
      </c>
      <c r="K17" s="23"/>
      <c r="L17" s="18"/>
    </row>
    <row r="18" spans="1:13" ht="150.75" customHeight="1" x14ac:dyDescent="0.3">
      <c r="A18" s="21"/>
      <c r="B18" s="212"/>
      <c r="C18" s="491"/>
      <c r="D18" s="68" t="s">
        <v>474</v>
      </c>
      <c r="E18" s="405" t="s">
        <v>319</v>
      </c>
      <c r="F18" s="405"/>
      <c r="G18" s="405"/>
      <c r="H18" s="405"/>
      <c r="I18" s="405"/>
      <c r="J18" s="344">
        <v>0</v>
      </c>
      <c r="K18" s="23"/>
      <c r="L18" s="18"/>
    </row>
    <row r="19" spans="1:13" ht="162.75" customHeight="1" x14ac:dyDescent="0.3">
      <c r="A19" s="21"/>
      <c r="B19" s="212"/>
      <c r="C19" s="491"/>
      <c r="D19" s="68" t="s">
        <v>475</v>
      </c>
      <c r="E19" s="405" t="s">
        <v>320</v>
      </c>
      <c r="F19" s="405"/>
      <c r="G19" s="405"/>
      <c r="H19" s="405"/>
      <c r="I19" s="405"/>
      <c r="J19" s="188">
        <v>0</v>
      </c>
      <c r="K19" s="23"/>
      <c r="L19" s="18"/>
    </row>
    <row r="20" spans="1:13" ht="37.5" x14ac:dyDescent="0.3">
      <c r="A20" s="21"/>
      <c r="B20" s="212"/>
      <c r="C20" s="491"/>
      <c r="D20" s="39" t="s">
        <v>322</v>
      </c>
      <c r="E20" s="40"/>
      <c r="F20" s="41"/>
      <c r="G20" s="42"/>
      <c r="H20" s="43"/>
      <c r="I20" s="43"/>
      <c r="J20" s="44">
        <f>J5+J12+J16+J17</f>
        <v>0</v>
      </c>
      <c r="K20" s="23"/>
      <c r="L20" s="18"/>
    </row>
    <row r="21" spans="1:13" ht="18.75" x14ac:dyDescent="0.3">
      <c r="A21" s="21"/>
      <c r="B21" s="212"/>
      <c r="C21" s="491"/>
      <c r="D21" s="19" t="s">
        <v>27</v>
      </c>
      <c r="E21" s="31"/>
      <c r="F21" s="45"/>
      <c r="G21" s="37"/>
      <c r="H21" s="37"/>
      <c r="I21" s="37"/>
      <c r="J21" s="33">
        <f>J23</f>
        <v>1000000</v>
      </c>
      <c r="K21" s="23"/>
      <c r="L21" s="18"/>
    </row>
    <row r="22" spans="1:13" ht="42.75" customHeight="1" x14ac:dyDescent="0.3">
      <c r="A22" s="21"/>
      <c r="B22" s="212"/>
      <c r="C22" s="491"/>
      <c r="D22" s="343" t="s">
        <v>324</v>
      </c>
      <c r="E22" s="343"/>
      <c r="F22" s="343"/>
      <c r="G22" s="343"/>
      <c r="H22" s="343"/>
      <c r="I22" s="343"/>
      <c r="J22" s="343"/>
      <c r="K22" s="23"/>
      <c r="L22" s="18"/>
    </row>
    <row r="23" spans="1:13" ht="175.5" customHeight="1" x14ac:dyDescent="0.3">
      <c r="A23" s="21"/>
      <c r="B23" s="212"/>
      <c r="C23" s="491"/>
      <c r="D23" s="47" t="s">
        <v>29</v>
      </c>
      <c r="E23" s="40" t="s">
        <v>30</v>
      </c>
      <c r="F23" s="42">
        <v>1</v>
      </c>
      <c r="G23" s="28">
        <f>IF(J20*10%&gt;=8000000,8000000,IF(J20*10%&lt;=1000000,1000000,J20*10%))</f>
        <v>1000000</v>
      </c>
      <c r="H23" s="43"/>
      <c r="I23" s="43"/>
      <c r="J23" s="42">
        <f>F23*G23</f>
        <v>1000000</v>
      </c>
      <c r="K23" s="23"/>
      <c r="L23" s="18"/>
    </row>
    <row r="24" spans="1:13" ht="37.5" x14ac:dyDescent="0.3">
      <c r="A24" s="21"/>
      <c r="B24" s="212"/>
      <c r="C24" s="491"/>
      <c r="D24" s="39" t="s">
        <v>31</v>
      </c>
      <c r="E24" s="40"/>
      <c r="F24" s="42"/>
      <c r="G24" s="28"/>
      <c r="H24" s="43"/>
      <c r="I24" s="43"/>
      <c r="J24" s="42"/>
      <c r="K24" s="210">
        <f>J20+J21</f>
        <v>1000000</v>
      </c>
      <c r="L24" s="18"/>
    </row>
    <row r="25" spans="1:13" ht="16.5" customHeight="1" x14ac:dyDescent="0.3">
      <c r="A25" s="21"/>
      <c r="B25" s="212"/>
      <c r="C25" s="491"/>
      <c r="D25" s="190" t="s">
        <v>32</v>
      </c>
      <c r="E25" s="50"/>
      <c r="F25" s="51"/>
      <c r="G25" s="52"/>
      <c r="H25" s="52"/>
      <c r="I25" s="52"/>
      <c r="J25" s="52"/>
      <c r="K25" s="52"/>
      <c r="L25" s="18"/>
    </row>
    <row r="26" spans="1:13" ht="93.75" x14ac:dyDescent="0.3">
      <c r="A26" s="18"/>
      <c r="B26" s="18"/>
      <c r="C26" s="491"/>
      <c r="D26" s="290" t="s">
        <v>33</v>
      </c>
      <c r="E26" s="258"/>
      <c r="F26" s="487" t="s">
        <v>34</v>
      </c>
      <c r="G26" s="487"/>
      <c r="H26" s="487"/>
      <c r="I26" s="487"/>
      <c r="J26" s="487"/>
      <c r="K26" s="190"/>
      <c r="L26" s="302"/>
    </row>
    <row r="27" spans="1:13" ht="93.75" customHeight="1" x14ac:dyDescent="0.25">
      <c r="A27" s="204"/>
      <c r="B27" s="204"/>
      <c r="C27" s="491"/>
      <c r="D27" s="204"/>
      <c r="E27" s="204"/>
      <c r="F27" s="204"/>
      <c r="G27" s="204"/>
      <c r="H27" s="204"/>
      <c r="I27" s="204"/>
      <c r="J27" s="204"/>
      <c r="K27" s="204"/>
      <c r="L27" s="204"/>
    </row>
    <row r="28" spans="1:13" ht="18.75" x14ac:dyDescent="0.25">
      <c r="A28" s="204"/>
      <c r="B28" s="204"/>
      <c r="C28" s="491"/>
      <c r="D28" s="204"/>
      <c r="E28" s="204"/>
      <c r="F28" s="204"/>
      <c r="G28" s="204"/>
      <c r="H28" s="204"/>
      <c r="I28" s="204"/>
      <c r="J28" s="204"/>
      <c r="K28" s="204"/>
      <c r="L28" s="204"/>
      <c r="M28" s="182"/>
    </row>
    <row r="29" spans="1:13" x14ac:dyDescent="0.25">
      <c r="A29" s="204"/>
      <c r="B29" s="204"/>
      <c r="C29" s="491"/>
      <c r="D29" s="204"/>
      <c r="E29" s="204"/>
      <c r="F29" s="204"/>
      <c r="G29" s="204"/>
      <c r="H29" s="204"/>
      <c r="I29" s="204"/>
      <c r="J29" s="204"/>
      <c r="K29" s="204"/>
      <c r="L29" s="204"/>
    </row>
    <row r="30" spans="1:13" x14ac:dyDescent="0.25">
      <c r="A30" s="204"/>
      <c r="B30" s="204"/>
      <c r="C30" s="491"/>
      <c r="D30" s="204"/>
      <c r="E30" s="204"/>
      <c r="F30" s="204"/>
      <c r="G30" s="204"/>
      <c r="H30" s="204"/>
      <c r="I30" s="204"/>
      <c r="J30" s="204"/>
      <c r="K30" s="204"/>
      <c r="L30" s="204"/>
    </row>
    <row r="31" spans="1:13" x14ac:dyDescent="0.25">
      <c r="A31" s="204"/>
      <c r="B31" s="204"/>
      <c r="C31" s="491"/>
      <c r="D31" s="204"/>
      <c r="E31" s="204"/>
      <c r="F31" s="204"/>
      <c r="G31" s="204"/>
      <c r="H31" s="204"/>
      <c r="I31" s="204"/>
      <c r="J31" s="204"/>
      <c r="K31" s="204"/>
      <c r="L31" s="204"/>
    </row>
    <row r="32" spans="1:13" x14ac:dyDescent="0.25">
      <c r="A32" s="204"/>
      <c r="B32" s="204"/>
      <c r="C32" s="491"/>
      <c r="D32" s="204"/>
      <c r="E32" s="204"/>
      <c r="F32" s="204"/>
      <c r="G32" s="204"/>
      <c r="H32" s="204"/>
      <c r="I32" s="204"/>
      <c r="J32" s="204"/>
      <c r="K32" s="204"/>
      <c r="L32" s="204"/>
    </row>
    <row r="33" spans="1:13" ht="136.5" customHeight="1" x14ac:dyDescent="0.25">
      <c r="A33" s="204"/>
      <c r="B33" s="204"/>
      <c r="C33" s="491"/>
      <c r="D33" s="204"/>
      <c r="E33" s="204"/>
      <c r="F33" s="204"/>
      <c r="G33" s="204"/>
      <c r="H33" s="204"/>
      <c r="I33" s="204"/>
      <c r="J33" s="204"/>
      <c r="K33" s="204"/>
      <c r="L33" s="204"/>
    </row>
    <row r="34" spans="1:13" ht="342.75" customHeight="1" x14ac:dyDescent="0.25">
      <c r="A34" s="204"/>
      <c r="B34" s="204"/>
      <c r="C34" s="491"/>
      <c r="D34" s="204"/>
      <c r="E34" s="204"/>
      <c r="F34" s="204"/>
      <c r="G34" s="204"/>
      <c r="H34" s="204"/>
      <c r="I34" s="204"/>
      <c r="J34" s="204"/>
      <c r="K34" s="204"/>
      <c r="L34" s="204"/>
    </row>
    <row r="35" spans="1:13" ht="409.5" customHeight="1" x14ac:dyDescent="0.25">
      <c r="A35" s="216"/>
      <c r="B35" s="216"/>
      <c r="C35" s="492"/>
      <c r="D35" s="216"/>
      <c r="E35" s="216"/>
      <c r="F35" s="216"/>
      <c r="G35" s="216"/>
      <c r="H35" s="216"/>
      <c r="I35" s="216"/>
      <c r="J35" s="216"/>
      <c r="K35" s="216"/>
      <c r="L35" s="216"/>
    </row>
    <row r="36" spans="1:13" ht="18.75" x14ac:dyDescent="0.25">
      <c r="C36" s="191"/>
      <c r="M36" s="182"/>
    </row>
    <row r="37" spans="1:13" ht="18.75" x14ac:dyDescent="0.25">
      <c r="C37" s="191"/>
      <c r="M37" s="182"/>
    </row>
    <row r="38" spans="1:13" ht="18.75" x14ac:dyDescent="0.25">
      <c r="C38" s="191"/>
    </row>
    <row r="39" spans="1:13" ht="18.75" x14ac:dyDescent="0.25">
      <c r="C39" s="191"/>
    </row>
    <row r="40" spans="1:13" ht="18.75" x14ac:dyDescent="0.25">
      <c r="C40" s="191"/>
    </row>
    <row r="41" spans="1:13" ht="18.75" x14ac:dyDescent="0.25">
      <c r="C41" s="191"/>
    </row>
    <row r="42" spans="1:13" ht="18.75" x14ac:dyDescent="0.25">
      <c r="C42" s="191"/>
    </row>
    <row r="43" spans="1:13" ht="18.75" x14ac:dyDescent="0.25">
      <c r="C43" s="191"/>
    </row>
    <row r="44" spans="1:13" ht="18.75" x14ac:dyDescent="0.25">
      <c r="C44" s="191"/>
    </row>
    <row r="45" spans="1:13" ht="18.75" x14ac:dyDescent="0.25">
      <c r="C45" s="191"/>
    </row>
    <row r="46" spans="1:13" ht="18.75" x14ac:dyDescent="0.25">
      <c r="C46" s="191"/>
    </row>
    <row r="47" spans="1:13" ht="18.75" x14ac:dyDescent="0.25">
      <c r="C47" s="191"/>
    </row>
    <row r="48" spans="1:13" ht="18.75" x14ac:dyDescent="0.25">
      <c r="C48" s="191"/>
    </row>
    <row r="49" spans="3:3" ht="18.75" x14ac:dyDescent="0.25">
      <c r="C49" s="191"/>
    </row>
    <row r="50" spans="3:3" ht="18.75" x14ac:dyDescent="0.25">
      <c r="C50" s="191"/>
    </row>
    <row r="51" spans="3:3" ht="18.75" x14ac:dyDescent="0.25">
      <c r="C51" s="191"/>
    </row>
    <row r="52" spans="3:3" ht="18.75" x14ac:dyDescent="0.25">
      <c r="C52" s="191"/>
    </row>
    <row r="53" spans="3:3" ht="18.75" x14ac:dyDescent="0.25">
      <c r="C53" s="191"/>
    </row>
  </sheetData>
  <mergeCells count="7">
    <mergeCell ref="E18:I18"/>
    <mergeCell ref="E19:I19"/>
    <mergeCell ref="F26:J26"/>
    <mergeCell ref="B5:B8"/>
    <mergeCell ref="D10:J10"/>
    <mergeCell ref="G11:J11"/>
    <mergeCell ref="C4:C35"/>
  </mergeCells>
  <pageMargins left="0.7" right="0.7" top="0.75" bottom="0.75" header="0.3" footer="0.3"/>
  <pageSetup paperSize="9" scale="52" fitToHeight="0" orientation="landscape" verticalDpi="0" r:id="rId1"/>
  <headerFooter>
    <oddFooter>&amp;C&amp;A/&amp;P-&amp;N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topLeftCell="A10" zoomScale="70" zoomScaleNormal="70" workbookViewId="0">
      <selection activeCell="D11" sqref="D11"/>
    </sheetView>
  </sheetViews>
  <sheetFormatPr defaultColWidth="9" defaultRowHeight="15" x14ac:dyDescent="0.25"/>
  <cols>
    <col min="1" max="1" width="4.85546875" style="99" customWidth="1"/>
    <col min="2" max="2" width="24.7109375" style="99" customWidth="1"/>
    <col min="3" max="3" width="66.140625" style="99" customWidth="1"/>
    <col min="4" max="4" width="55.5703125" style="99" customWidth="1"/>
    <col min="5" max="5" width="8.5703125" style="99" customWidth="1"/>
    <col min="6" max="6" width="9.42578125" style="99" customWidth="1"/>
    <col min="7" max="7" width="11.140625" style="99" customWidth="1"/>
    <col min="8" max="8" width="7.42578125" style="99" customWidth="1"/>
    <col min="9" max="9" width="11" style="99" customWidth="1"/>
    <col min="10" max="10" width="17.42578125" style="99" customWidth="1"/>
    <col min="11" max="11" width="15.5703125" style="99" customWidth="1"/>
    <col min="12" max="12" width="7" style="99" customWidth="1"/>
    <col min="13" max="16384" width="9" style="99"/>
  </cols>
  <sheetData>
    <row r="1" spans="1:12" ht="18.75" x14ac:dyDescent="0.3">
      <c r="A1" s="1" t="s">
        <v>0</v>
      </c>
      <c r="B1" s="2"/>
      <c r="C1" s="3"/>
      <c r="D1" s="3"/>
      <c r="E1" s="3"/>
      <c r="F1" s="3"/>
      <c r="G1" s="3"/>
      <c r="H1" s="3"/>
      <c r="I1" s="3"/>
      <c r="J1" s="3"/>
      <c r="K1" s="2"/>
      <c r="L1" s="2"/>
    </row>
    <row r="2" spans="1:12" ht="75" x14ac:dyDescent="0.25">
      <c r="A2" s="4" t="s">
        <v>1</v>
      </c>
      <c r="B2" s="5" t="s">
        <v>2</v>
      </c>
      <c r="C2" s="6" t="s">
        <v>3</v>
      </c>
      <c r="D2" s="6" t="s">
        <v>4</v>
      </c>
      <c r="E2" s="6" t="s">
        <v>5</v>
      </c>
      <c r="F2" s="7" t="s">
        <v>6</v>
      </c>
      <c r="G2" s="8" t="s">
        <v>7</v>
      </c>
      <c r="H2" s="9" t="s">
        <v>8</v>
      </c>
      <c r="I2" s="9" t="s">
        <v>9</v>
      </c>
      <c r="J2" s="8" t="s">
        <v>10</v>
      </c>
      <c r="K2" s="10" t="s">
        <v>11</v>
      </c>
      <c r="L2" s="10" t="s">
        <v>12</v>
      </c>
    </row>
    <row r="3" spans="1:12" ht="18.75" x14ac:dyDescent="0.25">
      <c r="A3" s="11">
        <v>1</v>
      </c>
      <c r="B3" s="12">
        <v>2</v>
      </c>
      <c r="C3" s="13">
        <v>3</v>
      </c>
      <c r="D3" s="14">
        <v>4</v>
      </c>
      <c r="E3" s="13">
        <v>5</v>
      </c>
      <c r="F3" s="13">
        <v>6</v>
      </c>
      <c r="G3" s="13">
        <v>7</v>
      </c>
      <c r="H3" s="13">
        <v>8</v>
      </c>
      <c r="I3" s="13">
        <v>9</v>
      </c>
      <c r="J3" s="12">
        <v>10</v>
      </c>
      <c r="K3" s="14">
        <v>11</v>
      </c>
      <c r="L3" s="14">
        <v>12</v>
      </c>
    </row>
    <row r="4" spans="1:12" ht="37.5" customHeight="1" x14ac:dyDescent="0.3">
      <c r="A4" s="15">
        <v>13</v>
      </c>
      <c r="B4" s="159" t="s">
        <v>309</v>
      </c>
      <c r="C4" s="490" t="s">
        <v>478</v>
      </c>
      <c r="D4" s="78"/>
      <c r="E4" s="79"/>
      <c r="F4" s="79"/>
      <c r="G4" s="79"/>
      <c r="H4" s="79"/>
      <c r="I4" s="79"/>
      <c r="J4" s="80"/>
      <c r="K4" s="81"/>
      <c r="L4" s="17"/>
    </row>
    <row r="5" spans="1:12" ht="18.75" x14ac:dyDescent="0.3">
      <c r="A5" s="18"/>
      <c r="B5" s="433" t="s">
        <v>310</v>
      </c>
      <c r="C5" s="491"/>
      <c r="D5" s="82" t="s">
        <v>13</v>
      </c>
      <c r="E5" s="83"/>
      <c r="F5" s="83"/>
      <c r="G5" s="83"/>
      <c r="H5" s="83"/>
      <c r="I5" s="83"/>
      <c r="J5" s="160">
        <f>J11</f>
        <v>0</v>
      </c>
      <c r="K5" s="86"/>
      <c r="L5" s="18"/>
    </row>
    <row r="6" spans="1:12" ht="37.5" x14ac:dyDescent="0.3">
      <c r="A6" s="18"/>
      <c r="B6" s="434"/>
      <c r="C6" s="491"/>
      <c r="D6" s="19" t="s">
        <v>311</v>
      </c>
      <c r="E6" s="87" t="s">
        <v>14</v>
      </c>
      <c r="F6" s="201">
        <v>100</v>
      </c>
      <c r="G6" s="89"/>
      <c r="H6" s="90"/>
      <c r="I6" s="90"/>
      <c r="J6" s="89"/>
      <c r="K6" s="91"/>
      <c r="L6" s="18"/>
    </row>
    <row r="7" spans="1:12" ht="18.75" x14ac:dyDescent="0.3">
      <c r="A7" s="18"/>
      <c r="B7" s="434"/>
      <c r="C7" s="491"/>
      <c r="D7" s="95" t="s">
        <v>228</v>
      </c>
      <c r="E7" s="20" t="s">
        <v>14</v>
      </c>
      <c r="F7" s="202">
        <v>100</v>
      </c>
      <c r="G7" s="94"/>
      <c r="H7" s="90"/>
      <c r="I7" s="90"/>
      <c r="J7" s="89"/>
      <c r="K7" s="91"/>
      <c r="L7" s="18"/>
    </row>
    <row r="8" spans="1:12" ht="18.75" x14ac:dyDescent="0.3">
      <c r="A8" s="21"/>
      <c r="B8" s="434"/>
      <c r="C8" s="491"/>
      <c r="D8" s="95" t="s">
        <v>15</v>
      </c>
      <c r="E8" s="20" t="s">
        <v>14</v>
      </c>
      <c r="F8" s="202">
        <v>0</v>
      </c>
      <c r="G8" s="89"/>
      <c r="H8" s="90"/>
      <c r="I8" s="90"/>
      <c r="J8" s="94"/>
      <c r="K8" s="91"/>
      <c r="L8" s="18"/>
    </row>
    <row r="9" spans="1:12" ht="18.75" x14ac:dyDescent="0.3">
      <c r="A9" s="21"/>
      <c r="B9" s="223"/>
      <c r="C9" s="491"/>
      <c r="D9" s="19" t="s">
        <v>282</v>
      </c>
      <c r="E9" s="87" t="s">
        <v>14</v>
      </c>
      <c r="F9" s="97">
        <f>SUM(F7)</f>
        <v>100</v>
      </c>
      <c r="G9" s="89"/>
      <c r="H9" s="90"/>
      <c r="I9" s="90"/>
      <c r="J9" s="89"/>
      <c r="K9" s="91"/>
      <c r="L9" s="18"/>
    </row>
    <row r="10" spans="1:12" ht="112.5" x14ac:dyDescent="0.3">
      <c r="A10" s="21"/>
      <c r="B10" s="283" t="s">
        <v>312</v>
      </c>
      <c r="C10" s="491"/>
      <c r="D10" s="488" t="s">
        <v>313</v>
      </c>
      <c r="E10" s="488"/>
      <c r="F10" s="488"/>
      <c r="G10" s="488"/>
      <c r="H10" s="488"/>
      <c r="I10" s="488"/>
      <c r="J10" s="488"/>
      <c r="K10" s="23"/>
      <c r="L10" s="18"/>
    </row>
    <row r="11" spans="1:12" ht="96.75" customHeight="1" x14ac:dyDescent="0.3">
      <c r="A11" s="21"/>
      <c r="B11" s="204"/>
      <c r="C11" s="491"/>
      <c r="D11" s="284" t="s">
        <v>314</v>
      </c>
      <c r="E11" s="285" t="s">
        <v>14</v>
      </c>
      <c r="F11" s="286">
        <f>F9</f>
        <v>100</v>
      </c>
      <c r="G11" s="489" t="s">
        <v>315</v>
      </c>
      <c r="H11" s="489"/>
      <c r="I11" s="489"/>
      <c r="J11" s="489"/>
      <c r="K11" s="287"/>
      <c r="L11" s="18"/>
    </row>
    <row r="12" spans="1:12" ht="18.75" x14ac:dyDescent="0.3">
      <c r="A12" s="21"/>
      <c r="B12" s="226"/>
      <c r="C12" s="491"/>
      <c r="D12" s="19" t="s">
        <v>19</v>
      </c>
      <c r="E12" s="26"/>
      <c r="F12" s="27"/>
      <c r="G12" s="24"/>
      <c r="H12" s="25"/>
      <c r="I12" s="25"/>
      <c r="J12" s="98">
        <f>SUM(J13:J15)</f>
        <v>0</v>
      </c>
      <c r="K12" s="23"/>
      <c r="L12" s="18"/>
    </row>
    <row r="13" spans="1:12" ht="18.75" x14ac:dyDescent="0.3">
      <c r="A13" s="21"/>
      <c r="B13" s="166" t="s">
        <v>17</v>
      </c>
      <c r="C13" s="491"/>
      <c r="D13" s="19" t="s">
        <v>316</v>
      </c>
      <c r="E13" s="26"/>
      <c r="F13" s="27"/>
      <c r="G13" s="24"/>
      <c r="H13" s="25"/>
      <c r="I13" s="25"/>
      <c r="J13" s="24">
        <v>0</v>
      </c>
      <c r="K13" s="23"/>
      <c r="L13" s="18"/>
    </row>
    <row r="14" spans="1:12" ht="75" x14ac:dyDescent="0.3">
      <c r="A14" s="21"/>
      <c r="B14" s="266" t="s">
        <v>18</v>
      </c>
      <c r="C14" s="491"/>
      <c r="D14" s="179" t="s">
        <v>22</v>
      </c>
      <c r="E14" s="171"/>
      <c r="F14" s="169"/>
      <c r="G14" s="169"/>
      <c r="H14" s="171"/>
      <c r="I14" s="171"/>
      <c r="J14" s="173">
        <v>0</v>
      </c>
      <c r="K14" s="174"/>
      <c r="L14" s="174"/>
    </row>
    <row r="15" spans="1:12" ht="18.75" x14ac:dyDescent="0.3">
      <c r="A15" s="21"/>
      <c r="B15" s="204"/>
      <c r="C15" s="491"/>
      <c r="D15" s="19" t="s">
        <v>317</v>
      </c>
      <c r="E15" s="171"/>
      <c r="F15" s="169"/>
      <c r="G15" s="169"/>
      <c r="H15" s="171"/>
      <c r="I15" s="171"/>
      <c r="J15" s="24">
        <v>0</v>
      </c>
      <c r="K15" s="174"/>
      <c r="L15" s="181"/>
    </row>
    <row r="16" spans="1:12" ht="18.75" x14ac:dyDescent="0.3">
      <c r="A16" s="21"/>
      <c r="B16" s="204"/>
      <c r="C16" s="491"/>
      <c r="D16" s="19" t="s">
        <v>25</v>
      </c>
      <c r="E16" s="26"/>
      <c r="F16" s="27"/>
      <c r="G16" s="186"/>
      <c r="H16" s="187"/>
      <c r="I16" s="187"/>
      <c r="J16" s="29">
        <v>0</v>
      </c>
      <c r="K16" s="23"/>
      <c r="L16" s="18"/>
    </row>
    <row r="17" spans="1:13" ht="30" customHeight="1" x14ac:dyDescent="0.3">
      <c r="A17" s="21"/>
      <c r="B17" s="266"/>
      <c r="C17" s="491"/>
      <c r="D17" s="30" t="s">
        <v>318</v>
      </c>
      <c r="E17" s="31"/>
      <c r="F17" s="32"/>
      <c r="G17" s="188"/>
      <c r="H17" s="189"/>
      <c r="I17" s="189"/>
      <c r="J17" s="33">
        <f>SUM(J18:J20)</f>
        <v>0</v>
      </c>
      <c r="K17" s="23"/>
      <c r="L17" s="18"/>
    </row>
    <row r="18" spans="1:13" ht="163.5" customHeight="1" x14ac:dyDescent="0.3">
      <c r="A18" s="21"/>
      <c r="B18" s="266"/>
      <c r="C18" s="491"/>
      <c r="D18" s="68" t="s">
        <v>474</v>
      </c>
      <c r="E18" s="404" t="s">
        <v>319</v>
      </c>
      <c r="F18" s="404"/>
      <c r="G18" s="404"/>
      <c r="H18" s="404"/>
      <c r="I18" s="404"/>
      <c r="J18" s="288">
        <v>0</v>
      </c>
      <c r="K18" s="23"/>
      <c r="L18" s="18"/>
    </row>
    <row r="19" spans="1:13" ht="153" customHeight="1" x14ac:dyDescent="0.3">
      <c r="A19" s="21"/>
      <c r="B19" s="266"/>
      <c r="C19" s="491"/>
      <c r="D19" s="68" t="s">
        <v>475</v>
      </c>
      <c r="E19" s="405" t="s">
        <v>320</v>
      </c>
      <c r="F19" s="405"/>
      <c r="G19" s="405"/>
      <c r="H19" s="405"/>
      <c r="I19" s="405"/>
      <c r="J19" s="188">
        <v>0</v>
      </c>
      <c r="K19" s="23"/>
      <c r="L19" s="18"/>
    </row>
    <row r="20" spans="1:13" ht="30" customHeight="1" x14ac:dyDescent="0.3">
      <c r="A20" s="21"/>
      <c r="B20" s="266"/>
      <c r="C20" s="491"/>
      <c r="D20" s="68" t="s">
        <v>321</v>
      </c>
      <c r="E20" s="289"/>
      <c r="F20" s="289"/>
      <c r="G20" s="289"/>
      <c r="H20" s="289"/>
      <c r="I20" s="289"/>
      <c r="J20" s="59">
        <v>0</v>
      </c>
      <c r="K20" s="23"/>
      <c r="L20" s="18"/>
    </row>
    <row r="21" spans="1:13" ht="30" customHeight="1" x14ac:dyDescent="0.3">
      <c r="A21" s="21"/>
      <c r="B21" s="266"/>
      <c r="C21" s="491"/>
      <c r="D21" s="39" t="s">
        <v>322</v>
      </c>
      <c r="E21" s="40"/>
      <c r="F21" s="41"/>
      <c r="G21" s="42"/>
      <c r="H21" s="43"/>
      <c r="I21" s="43"/>
      <c r="J21" s="44">
        <f>J5+J12+J16+J17</f>
        <v>0</v>
      </c>
      <c r="K21" s="23"/>
      <c r="L21" s="18"/>
    </row>
    <row r="22" spans="1:13" ht="30" customHeight="1" x14ac:dyDescent="0.3">
      <c r="A22" s="21"/>
      <c r="B22" s="266"/>
      <c r="C22" s="491"/>
      <c r="D22" s="346" t="s">
        <v>27</v>
      </c>
      <c r="E22" s="347"/>
      <c r="F22" s="347"/>
      <c r="G22" s="347"/>
      <c r="H22" s="347"/>
      <c r="I22" s="347"/>
      <c r="J22" s="33">
        <v>0</v>
      </c>
      <c r="K22" s="23"/>
      <c r="L22" s="18"/>
    </row>
    <row r="23" spans="1:13" ht="36" customHeight="1" x14ac:dyDescent="0.3">
      <c r="A23" s="21"/>
      <c r="B23" s="266"/>
      <c r="C23" s="491"/>
      <c r="D23" s="345" t="s">
        <v>477</v>
      </c>
      <c r="E23" s="343"/>
      <c r="F23" s="343"/>
      <c r="G23" s="343"/>
      <c r="H23" s="343"/>
      <c r="I23" s="343"/>
      <c r="J23" s="343"/>
      <c r="K23" s="23"/>
      <c r="L23" s="18"/>
    </row>
    <row r="24" spans="1:13" ht="66" customHeight="1" x14ac:dyDescent="0.3">
      <c r="A24" s="21"/>
      <c r="B24" s="266"/>
      <c r="C24" s="491"/>
      <c r="D24" s="39" t="s">
        <v>31</v>
      </c>
      <c r="E24" s="40"/>
      <c r="F24" s="42"/>
      <c r="G24" s="28"/>
      <c r="H24" s="43"/>
      <c r="I24" s="43"/>
      <c r="J24" s="42"/>
      <c r="K24" s="210">
        <f>J21+J22</f>
        <v>0</v>
      </c>
      <c r="L24" s="18"/>
    </row>
    <row r="25" spans="1:13" ht="30" customHeight="1" x14ac:dyDescent="0.3">
      <c r="A25" s="21"/>
      <c r="B25" s="266"/>
      <c r="C25" s="491"/>
      <c r="D25" s="190" t="s">
        <v>32</v>
      </c>
      <c r="E25" s="50"/>
      <c r="F25" s="51"/>
      <c r="G25" s="52"/>
      <c r="H25" s="52"/>
      <c r="I25" s="52"/>
      <c r="J25" s="52"/>
      <c r="K25" s="52"/>
      <c r="L25" s="18"/>
    </row>
    <row r="26" spans="1:13" ht="106.5" customHeight="1" x14ac:dyDescent="0.3">
      <c r="A26" s="21"/>
      <c r="B26" s="266"/>
      <c r="C26" s="491"/>
      <c r="D26" s="290" t="s">
        <v>33</v>
      </c>
      <c r="E26" s="258"/>
      <c r="F26" s="493" t="s">
        <v>34</v>
      </c>
      <c r="G26" s="493"/>
      <c r="H26" s="493"/>
      <c r="I26" s="493"/>
      <c r="J26" s="493"/>
      <c r="K26" s="190"/>
      <c r="L26" s="18"/>
    </row>
    <row r="27" spans="1:13" ht="50.1" customHeight="1" x14ac:dyDescent="0.25">
      <c r="A27" s="204"/>
      <c r="B27" s="204"/>
      <c r="C27" s="491"/>
      <c r="D27" s="204"/>
      <c r="E27" s="204"/>
      <c r="F27" s="204"/>
      <c r="G27" s="204"/>
      <c r="H27" s="204"/>
      <c r="I27" s="204"/>
      <c r="J27" s="204"/>
      <c r="K27" s="204"/>
      <c r="L27" s="204"/>
    </row>
    <row r="28" spans="1:13" ht="50.1" customHeight="1" x14ac:dyDescent="0.25">
      <c r="A28" s="204"/>
      <c r="B28" s="204"/>
      <c r="C28" s="491"/>
      <c r="D28" s="204"/>
      <c r="E28" s="204"/>
      <c r="F28" s="204"/>
      <c r="G28" s="204"/>
      <c r="H28" s="204"/>
      <c r="I28" s="204"/>
      <c r="J28" s="204"/>
      <c r="K28" s="204"/>
      <c r="L28" s="204"/>
    </row>
    <row r="29" spans="1:13" ht="50.1" customHeight="1" x14ac:dyDescent="0.25">
      <c r="A29" s="204"/>
      <c r="B29" s="204"/>
      <c r="C29" s="491"/>
      <c r="D29" s="204"/>
      <c r="E29" s="204"/>
      <c r="F29" s="204"/>
      <c r="G29" s="204"/>
      <c r="H29" s="204"/>
      <c r="I29" s="204"/>
      <c r="J29" s="204"/>
      <c r="K29" s="204"/>
      <c r="L29" s="204"/>
    </row>
    <row r="30" spans="1:13" ht="50.1" customHeight="1" x14ac:dyDescent="0.25">
      <c r="A30" s="204"/>
      <c r="B30" s="204"/>
      <c r="C30" s="491"/>
      <c r="D30" s="204"/>
      <c r="E30" s="204"/>
      <c r="F30" s="204"/>
      <c r="G30" s="204"/>
      <c r="H30" s="204"/>
      <c r="I30" s="204"/>
      <c r="J30" s="204"/>
      <c r="K30" s="204"/>
      <c r="L30" s="204"/>
      <c r="M30" s="182"/>
    </row>
    <row r="31" spans="1:13" ht="50.1" customHeight="1" x14ac:dyDescent="0.25">
      <c r="A31" s="204"/>
      <c r="B31" s="204"/>
      <c r="C31" s="491"/>
      <c r="D31" s="204"/>
      <c r="E31" s="204"/>
      <c r="F31" s="204"/>
      <c r="G31" s="204"/>
      <c r="H31" s="204"/>
      <c r="I31" s="204"/>
      <c r="J31" s="204"/>
      <c r="K31" s="204"/>
      <c r="L31" s="204"/>
    </row>
    <row r="32" spans="1:13" ht="50.1" customHeight="1" x14ac:dyDescent="0.25">
      <c r="A32" s="204"/>
      <c r="B32" s="204"/>
      <c r="C32" s="491"/>
      <c r="D32" s="204"/>
      <c r="E32" s="204"/>
      <c r="F32" s="204"/>
      <c r="G32" s="204"/>
      <c r="H32" s="204"/>
      <c r="I32" s="204"/>
      <c r="J32" s="204"/>
      <c r="K32" s="204"/>
      <c r="L32" s="204"/>
    </row>
    <row r="33" spans="1:12" ht="50.1" customHeight="1" x14ac:dyDescent="0.25">
      <c r="A33" s="204"/>
      <c r="B33" s="204"/>
      <c r="C33" s="491"/>
      <c r="D33" s="204"/>
      <c r="E33" s="204"/>
      <c r="F33" s="204"/>
      <c r="G33" s="204"/>
      <c r="H33" s="204"/>
      <c r="I33" s="204"/>
      <c r="J33" s="204"/>
      <c r="K33" s="204"/>
      <c r="L33" s="204"/>
    </row>
    <row r="34" spans="1:12" ht="50.1" customHeight="1" x14ac:dyDescent="0.25">
      <c r="A34" s="204"/>
      <c r="B34" s="204"/>
      <c r="C34" s="491"/>
      <c r="D34" s="204"/>
      <c r="E34" s="204"/>
      <c r="F34" s="204"/>
      <c r="G34" s="204"/>
      <c r="H34" s="204"/>
      <c r="I34" s="204"/>
      <c r="J34" s="204"/>
      <c r="K34" s="204"/>
      <c r="L34" s="204"/>
    </row>
    <row r="35" spans="1:12" ht="50.1" customHeight="1" x14ac:dyDescent="0.25">
      <c r="A35" s="204"/>
      <c r="B35" s="204"/>
      <c r="C35" s="491"/>
      <c r="D35" s="204"/>
      <c r="E35" s="204"/>
      <c r="F35" s="204"/>
      <c r="G35" s="204"/>
      <c r="H35" s="204"/>
      <c r="I35" s="204"/>
      <c r="J35" s="204"/>
      <c r="K35" s="204"/>
      <c r="L35" s="204"/>
    </row>
    <row r="36" spans="1:12" ht="50.1" customHeight="1" x14ac:dyDescent="0.25">
      <c r="A36" s="204"/>
      <c r="B36" s="204"/>
      <c r="C36" s="491"/>
      <c r="D36" s="204"/>
      <c r="E36" s="204"/>
      <c r="F36" s="204"/>
      <c r="G36" s="204"/>
      <c r="H36" s="204"/>
      <c r="I36" s="204"/>
      <c r="J36" s="204"/>
      <c r="K36" s="204"/>
      <c r="L36" s="204"/>
    </row>
    <row r="37" spans="1:12" ht="50.1" customHeight="1" x14ac:dyDescent="0.25">
      <c r="A37" s="204"/>
      <c r="B37" s="204"/>
      <c r="C37" s="491"/>
      <c r="D37" s="204"/>
      <c r="E37" s="204"/>
      <c r="F37" s="204"/>
      <c r="G37" s="204"/>
      <c r="H37" s="204"/>
      <c r="I37" s="204"/>
      <c r="J37" s="204"/>
      <c r="K37" s="204"/>
      <c r="L37" s="204"/>
    </row>
    <row r="38" spans="1:12" ht="50.1" customHeight="1" x14ac:dyDescent="0.25">
      <c r="A38" s="204"/>
      <c r="B38" s="204"/>
      <c r="C38" s="491"/>
      <c r="D38" s="204"/>
      <c r="E38" s="204"/>
      <c r="F38" s="204"/>
      <c r="G38" s="204"/>
      <c r="H38" s="204"/>
      <c r="I38" s="204"/>
      <c r="J38" s="204"/>
      <c r="K38" s="204"/>
      <c r="L38" s="204"/>
    </row>
    <row r="39" spans="1:12" ht="50.1" customHeight="1" x14ac:dyDescent="0.25">
      <c r="A39" s="204"/>
      <c r="B39" s="204"/>
      <c r="C39" s="491"/>
      <c r="D39" s="204"/>
      <c r="E39" s="204"/>
      <c r="F39" s="204"/>
      <c r="G39" s="204"/>
      <c r="H39" s="204"/>
      <c r="I39" s="204"/>
      <c r="J39" s="204"/>
      <c r="K39" s="204"/>
      <c r="L39" s="204"/>
    </row>
    <row r="40" spans="1:12" ht="50.1" customHeight="1" x14ac:dyDescent="0.25">
      <c r="A40" s="204"/>
      <c r="B40" s="204"/>
      <c r="C40" s="491"/>
      <c r="D40" s="204"/>
      <c r="E40" s="204"/>
      <c r="F40" s="204"/>
      <c r="G40" s="204"/>
      <c r="H40" s="204"/>
      <c r="I40" s="204"/>
      <c r="J40" s="204"/>
      <c r="K40" s="204"/>
      <c r="L40" s="204"/>
    </row>
    <row r="41" spans="1:12" ht="50.1" customHeight="1" x14ac:dyDescent="0.25">
      <c r="A41" s="204"/>
      <c r="B41" s="204"/>
      <c r="C41" s="491"/>
      <c r="D41" s="204"/>
      <c r="E41" s="204"/>
      <c r="F41" s="204"/>
      <c r="G41" s="204"/>
      <c r="H41" s="204"/>
      <c r="I41" s="204"/>
      <c r="J41" s="204"/>
      <c r="K41" s="204"/>
      <c r="L41" s="204"/>
    </row>
    <row r="42" spans="1:12" ht="50.1" customHeight="1" x14ac:dyDescent="0.25">
      <c r="A42" s="204"/>
      <c r="B42" s="204"/>
      <c r="C42" s="491"/>
      <c r="D42" s="204"/>
      <c r="E42" s="204"/>
      <c r="F42" s="204"/>
      <c r="G42" s="204"/>
      <c r="H42" s="204"/>
      <c r="I42" s="204"/>
      <c r="J42" s="204"/>
      <c r="K42" s="204"/>
      <c r="L42" s="204"/>
    </row>
    <row r="43" spans="1:12" ht="50.1" customHeight="1" x14ac:dyDescent="0.25">
      <c r="A43" s="204"/>
      <c r="B43" s="204"/>
      <c r="C43" s="491"/>
      <c r="D43" s="204"/>
      <c r="E43" s="204"/>
      <c r="F43" s="204"/>
      <c r="G43" s="204"/>
      <c r="H43" s="204"/>
      <c r="I43" s="204"/>
      <c r="J43" s="204"/>
      <c r="K43" s="204"/>
      <c r="L43" s="204"/>
    </row>
    <row r="44" spans="1:12" ht="149.25" customHeight="1" x14ac:dyDescent="0.25">
      <c r="A44" s="204"/>
      <c r="B44" s="204"/>
      <c r="C44" s="491"/>
      <c r="D44" s="204"/>
      <c r="E44" s="204"/>
      <c r="F44" s="204"/>
      <c r="G44" s="204"/>
      <c r="H44" s="204"/>
      <c r="I44" s="204"/>
      <c r="J44" s="204"/>
      <c r="K44" s="204"/>
      <c r="L44" s="204"/>
    </row>
    <row r="45" spans="1:12" ht="138" customHeight="1" x14ac:dyDescent="0.25">
      <c r="A45" s="204"/>
      <c r="B45" s="204"/>
      <c r="C45" s="491"/>
      <c r="D45" s="204"/>
      <c r="E45" s="204"/>
      <c r="F45" s="204"/>
      <c r="G45" s="204"/>
      <c r="H45" s="204"/>
      <c r="I45" s="204"/>
      <c r="J45" s="204"/>
      <c r="K45" s="204"/>
      <c r="L45" s="204"/>
    </row>
    <row r="46" spans="1:12" ht="321" customHeight="1" x14ac:dyDescent="0.25">
      <c r="A46" s="216"/>
      <c r="B46" s="216"/>
      <c r="C46" s="492"/>
      <c r="D46" s="216"/>
      <c r="E46" s="216"/>
      <c r="F46" s="216"/>
      <c r="G46" s="216"/>
      <c r="H46" s="216"/>
      <c r="I46" s="216"/>
      <c r="J46" s="216"/>
      <c r="K46" s="216"/>
      <c r="L46" s="216"/>
    </row>
  </sheetData>
  <mergeCells count="7">
    <mergeCell ref="C4:C46"/>
    <mergeCell ref="B5:B8"/>
    <mergeCell ref="D10:J10"/>
    <mergeCell ref="G11:J11"/>
    <mergeCell ref="E18:I18"/>
    <mergeCell ref="E19:I19"/>
    <mergeCell ref="F26:J26"/>
  </mergeCells>
  <pageMargins left="0.7" right="0.7" top="0.75" bottom="0.75" header="0.3" footer="0.3"/>
  <pageSetup paperSize="9" scale="54" fitToHeight="0" orientation="landscape" r:id="rId1"/>
  <headerFooter>
    <oddFooter>&amp;C&amp;A/&amp;P-&amp;N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7"/>
  <sheetViews>
    <sheetView topLeftCell="A4" zoomScale="70" zoomScaleNormal="70" workbookViewId="0">
      <selection activeCell="C4" sqref="C4:C47"/>
    </sheetView>
  </sheetViews>
  <sheetFormatPr defaultColWidth="9" defaultRowHeight="15" x14ac:dyDescent="0.25"/>
  <cols>
    <col min="1" max="1" width="4.85546875" style="99" customWidth="1"/>
    <col min="2" max="2" width="24.7109375" style="99" customWidth="1"/>
    <col min="3" max="3" width="73" style="99" customWidth="1"/>
    <col min="4" max="4" width="55.5703125" style="99" customWidth="1"/>
    <col min="5" max="5" width="8.5703125" style="99" customWidth="1"/>
    <col min="6" max="6" width="9.42578125" style="99" customWidth="1"/>
    <col min="7" max="7" width="11.140625" style="99" customWidth="1"/>
    <col min="8" max="8" width="7.42578125" style="99" customWidth="1"/>
    <col min="9" max="9" width="11" style="99" customWidth="1"/>
    <col min="10" max="10" width="17.42578125" style="99" customWidth="1"/>
    <col min="11" max="11" width="15.5703125" style="99" customWidth="1"/>
    <col min="12" max="12" width="7" style="99" customWidth="1"/>
    <col min="13" max="16384" width="9" style="99"/>
  </cols>
  <sheetData>
    <row r="1" spans="1:12" ht="18.75" x14ac:dyDescent="0.3">
      <c r="A1" s="1" t="s">
        <v>0</v>
      </c>
      <c r="B1" s="2"/>
      <c r="C1" s="3"/>
      <c r="D1" s="3"/>
      <c r="E1" s="3"/>
      <c r="F1" s="3"/>
      <c r="G1" s="3"/>
      <c r="H1" s="3"/>
      <c r="I1" s="3"/>
      <c r="J1" s="3"/>
      <c r="K1" s="2"/>
      <c r="L1" s="2"/>
    </row>
    <row r="2" spans="1:12" ht="75" x14ac:dyDescent="0.25">
      <c r="A2" s="4" t="s">
        <v>1</v>
      </c>
      <c r="B2" s="5" t="s">
        <v>2</v>
      </c>
      <c r="C2" s="6" t="s">
        <v>3</v>
      </c>
      <c r="D2" s="6" t="s">
        <v>4</v>
      </c>
      <c r="E2" s="6" t="s">
        <v>5</v>
      </c>
      <c r="F2" s="7" t="s">
        <v>6</v>
      </c>
      <c r="G2" s="8" t="s">
        <v>7</v>
      </c>
      <c r="H2" s="9" t="s">
        <v>8</v>
      </c>
      <c r="I2" s="9" t="s">
        <v>9</v>
      </c>
      <c r="J2" s="8" t="s">
        <v>10</v>
      </c>
      <c r="K2" s="10" t="s">
        <v>11</v>
      </c>
      <c r="L2" s="10" t="s">
        <v>12</v>
      </c>
    </row>
    <row r="3" spans="1:12" ht="18.75" x14ac:dyDescent="0.25">
      <c r="A3" s="11">
        <v>1</v>
      </c>
      <c r="B3" s="12">
        <v>2</v>
      </c>
      <c r="C3" s="13">
        <v>3</v>
      </c>
      <c r="D3" s="14">
        <v>4</v>
      </c>
      <c r="E3" s="13">
        <v>5</v>
      </c>
      <c r="F3" s="13">
        <v>6</v>
      </c>
      <c r="G3" s="13">
        <v>7</v>
      </c>
      <c r="H3" s="13">
        <v>8</v>
      </c>
      <c r="I3" s="13">
        <v>9</v>
      </c>
      <c r="J3" s="12">
        <v>10</v>
      </c>
      <c r="K3" s="14">
        <v>11</v>
      </c>
      <c r="L3" s="14">
        <v>12</v>
      </c>
    </row>
    <row r="4" spans="1:12" ht="37.5" x14ac:dyDescent="0.3">
      <c r="A4" s="15">
        <v>14</v>
      </c>
      <c r="B4" s="159" t="s">
        <v>309</v>
      </c>
      <c r="C4" s="490" t="s">
        <v>479</v>
      </c>
      <c r="D4" s="78"/>
      <c r="E4" s="79"/>
      <c r="F4" s="79"/>
      <c r="G4" s="79"/>
      <c r="H4" s="79"/>
      <c r="I4" s="79"/>
      <c r="J4" s="80"/>
      <c r="K4" s="81"/>
      <c r="L4" s="17"/>
    </row>
    <row r="5" spans="1:12" ht="18.75" x14ac:dyDescent="0.3">
      <c r="A5" s="18"/>
      <c r="B5" s="433" t="s">
        <v>310</v>
      </c>
      <c r="C5" s="491"/>
      <c r="D5" s="82" t="s">
        <v>13</v>
      </c>
      <c r="E5" s="83"/>
      <c r="F5" s="83"/>
      <c r="G5" s="83"/>
      <c r="H5" s="83"/>
      <c r="I5" s="83"/>
      <c r="J5" s="160">
        <f>J11</f>
        <v>0</v>
      </c>
      <c r="K5" s="86"/>
      <c r="L5" s="18"/>
    </row>
    <row r="6" spans="1:12" ht="37.5" x14ac:dyDescent="0.3">
      <c r="A6" s="18"/>
      <c r="B6" s="434"/>
      <c r="C6" s="491"/>
      <c r="D6" s="19" t="s">
        <v>325</v>
      </c>
      <c r="E6" s="87" t="s">
        <v>14</v>
      </c>
      <c r="F6" s="201">
        <v>100</v>
      </c>
      <c r="G6" s="89"/>
      <c r="H6" s="90"/>
      <c r="I6" s="90"/>
      <c r="J6" s="89"/>
      <c r="K6" s="91"/>
      <c r="L6" s="18"/>
    </row>
    <row r="7" spans="1:12" ht="18.75" x14ac:dyDescent="0.3">
      <c r="A7" s="18"/>
      <c r="B7" s="434"/>
      <c r="C7" s="491"/>
      <c r="D7" s="95" t="s">
        <v>228</v>
      </c>
      <c r="E7" s="20" t="s">
        <v>14</v>
      </c>
      <c r="F7" s="202">
        <v>100</v>
      </c>
      <c r="G7" s="94"/>
      <c r="H7" s="90"/>
      <c r="I7" s="90"/>
      <c r="J7" s="89"/>
      <c r="K7" s="91"/>
      <c r="L7" s="18"/>
    </row>
    <row r="8" spans="1:12" ht="18.75" x14ac:dyDescent="0.3">
      <c r="A8" s="21"/>
      <c r="B8" s="434"/>
      <c r="C8" s="491"/>
      <c r="D8" s="95" t="s">
        <v>15</v>
      </c>
      <c r="E8" s="20" t="s">
        <v>14</v>
      </c>
      <c r="F8" s="202">
        <v>0</v>
      </c>
      <c r="G8" s="89"/>
      <c r="H8" s="90"/>
      <c r="I8" s="90"/>
      <c r="J8" s="94"/>
      <c r="K8" s="91"/>
      <c r="L8" s="18"/>
    </row>
    <row r="9" spans="1:12" ht="18.75" x14ac:dyDescent="0.3">
      <c r="A9" s="21"/>
      <c r="B9" s="223"/>
      <c r="C9" s="491"/>
      <c r="D9" s="19" t="s">
        <v>282</v>
      </c>
      <c r="E9" s="87"/>
      <c r="F9" s="97"/>
      <c r="G9" s="89"/>
      <c r="H9" s="90"/>
      <c r="I9" s="90"/>
      <c r="J9" s="89"/>
      <c r="K9" s="91"/>
      <c r="L9" s="18"/>
    </row>
    <row r="10" spans="1:12" ht="112.5" x14ac:dyDescent="0.3">
      <c r="A10" s="21"/>
      <c r="B10" s="283" t="s">
        <v>312</v>
      </c>
      <c r="C10" s="491"/>
      <c r="D10" s="488" t="s">
        <v>313</v>
      </c>
      <c r="E10" s="488"/>
      <c r="F10" s="488"/>
      <c r="G10" s="488"/>
      <c r="H10" s="488"/>
      <c r="I10" s="488"/>
      <c r="J10" s="488"/>
      <c r="K10" s="23"/>
      <c r="L10" s="18"/>
    </row>
    <row r="11" spans="1:12" ht="101.25" customHeight="1" x14ac:dyDescent="0.3">
      <c r="A11" s="21"/>
      <c r="B11" s="204"/>
      <c r="C11" s="491"/>
      <c r="D11" s="284" t="s">
        <v>314</v>
      </c>
      <c r="E11" s="285" t="s">
        <v>14</v>
      </c>
      <c r="F11" s="286">
        <f>F7</f>
        <v>100</v>
      </c>
      <c r="G11" s="481" t="s">
        <v>315</v>
      </c>
      <c r="H11" s="482"/>
      <c r="I11" s="482"/>
      <c r="J11" s="483"/>
      <c r="K11" s="287"/>
      <c r="L11" s="18"/>
    </row>
    <row r="12" spans="1:12" ht="18.75" x14ac:dyDescent="0.3">
      <c r="A12" s="21"/>
      <c r="B12" s="225"/>
      <c r="C12" s="491"/>
      <c r="D12" s="19" t="s">
        <v>19</v>
      </c>
      <c r="E12" s="26"/>
      <c r="F12" s="27"/>
      <c r="G12" s="24"/>
      <c r="H12" s="25"/>
      <c r="I12" s="25"/>
      <c r="J12" s="98">
        <f>SUM(J13:J15)</f>
        <v>0</v>
      </c>
      <c r="K12" s="23"/>
      <c r="L12" s="18"/>
    </row>
    <row r="13" spans="1:12" ht="18.75" x14ac:dyDescent="0.3">
      <c r="A13" s="21"/>
      <c r="B13" s="226"/>
      <c r="C13" s="491"/>
      <c r="D13" s="19" t="s">
        <v>316</v>
      </c>
      <c r="E13" s="26"/>
      <c r="F13" s="27"/>
      <c r="G13" s="24"/>
      <c r="H13" s="25"/>
      <c r="I13" s="25"/>
      <c r="J13" s="24">
        <v>0</v>
      </c>
      <c r="K13" s="23"/>
      <c r="L13" s="18"/>
    </row>
    <row r="14" spans="1:12" ht="18.75" x14ac:dyDescent="0.3">
      <c r="A14" s="21"/>
      <c r="B14" s="166" t="s">
        <v>17</v>
      </c>
      <c r="C14" s="491"/>
      <c r="D14" s="179" t="s">
        <v>22</v>
      </c>
      <c r="E14" s="171"/>
      <c r="F14" s="169"/>
      <c r="G14" s="169"/>
      <c r="H14" s="171"/>
      <c r="I14" s="171"/>
      <c r="J14" s="173">
        <v>0</v>
      </c>
      <c r="K14" s="174"/>
      <c r="L14" s="18"/>
    </row>
    <row r="15" spans="1:12" ht="75" x14ac:dyDescent="0.3">
      <c r="A15" s="21"/>
      <c r="B15" s="266" t="s">
        <v>18</v>
      </c>
      <c r="C15" s="491"/>
      <c r="D15" s="19" t="s">
        <v>317</v>
      </c>
      <c r="E15" s="171"/>
      <c r="F15" s="169"/>
      <c r="G15" s="169"/>
      <c r="H15" s="171"/>
      <c r="I15" s="171"/>
      <c r="J15" s="24">
        <v>0</v>
      </c>
      <c r="K15" s="174"/>
      <c r="L15" s="18"/>
    </row>
    <row r="16" spans="1:12" ht="18.75" x14ac:dyDescent="0.3">
      <c r="A16" s="21"/>
      <c r="B16" s="204"/>
      <c r="C16" s="491"/>
      <c r="D16" s="19" t="s">
        <v>25</v>
      </c>
      <c r="E16" s="26"/>
      <c r="F16" s="27"/>
      <c r="G16" s="186"/>
      <c r="H16" s="187"/>
      <c r="I16" s="187"/>
      <c r="J16" s="29">
        <v>0</v>
      </c>
      <c r="K16" s="23"/>
      <c r="L16" s="174"/>
    </row>
    <row r="17" spans="1:18" ht="30" customHeight="1" x14ac:dyDescent="0.3">
      <c r="A17" s="21"/>
      <c r="B17" s="204"/>
      <c r="C17" s="491"/>
      <c r="D17" s="30" t="s">
        <v>318</v>
      </c>
      <c r="E17" s="31"/>
      <c r="F17" s="32"/>
      <c r="G17" s="188"/>
      <c r="H17" s="189"/>
      <c r="I17" s="189"/>
      <c r="J17" s="33">
        <f>SUM(J18:J20)</f>
        <v>0</v>
      </c>
      <c r="K17" s="23"/>
      <c r="L17" s="181"/>
    </row>
    <row r="18" spans="1:18" ht="165" customHeight="1" x14ac:dyDescent="0.3">
      <c r="A18" s="21"/>
      <c r="B18" s="266"/>
      <c r="C18" s="491"/>
      <c r="D18" s="68" t="s">
        <v>474</v>
      </c>
      <c r="E18" s="496" t="s">
        <v>319</v>
      </c>
      <c r="F18" s="496"/>
      <c r="G18" s="496"/>
      <c r="H18" s="496"/>
      <c r="I18" s="496"/>
      <c r="J18" s="246">
        <v>0</v>
      </c>
      <c r="K18" s="23"/>
      <c r="L18" s="18"/>
      <c r="R18" s="99" t="s">
        <v>125</v>
      </c>
    </row>
    <row r="19" spans="1:18" ht="140.25" customHeight="1" x14ac:dyDescent="0.3">
      <c r="A19" s="21"/>
      <c r="B19" s="204"/>
      <c r="C19" s="491"/>
      <c r="D19" s="68" t="s">
        <v>475</v>
      </c>
      <c r="E19" s="497" t="s">
        <v>320</v>
      </c>
      <c r="F19" s="497"/>
      <c r="G19" s="497"/>
      <c r="H19" s="497"/>
      <c r="I19" s="497"/>
      <c r="J19" s="188">
        <v>0</v>
      </c>
      <c r="K19" s="23"/>
      <c r="L19" s="18"/>
    </row>
    <row r="20" spans="1:18" ht="30" customHeight="1" x14ac:dyDescent="0.3">
      <c r="A20" s="21"/>
      <c r="B20" s="266"/>
      <c r="C20" s="491"/>
      <c r="D20" s="68" t="s">
        <v>321</v>
      </c>
      <c r="E20" s="289"/>
      <c r="F20" s="289"/>
      <c r="G20" s="289"/>
      <c r="H20" s="289"/>
      <c r="I20" s="289"/>
      <c r="J20" s="59">
        <v>0</v>
      </c>
      <c r="K20" s="23"/>
      <c r="L20" s="18"/>
    </row>
    <row r="21" spans="1:18" ht="30" customHeight="1" x14ac:dyDescent="0.3">
      <c r="A21" s="21"/>
      <c r="B21" s="266"/>
      <c r="C21" s="491"/>
      <c r="D21" s="39" t="s">
        <v>322</v>
      </c>
      <c r="E21" s="40"/>
      <c r="F21" s="41"/>
      <c r="G21" s="42"/>
      <c r="H21" s="43"/>
      <c r="I21" s="43"/>
      <c r="J21" s="44">
        <f>J5+J12+J16+J17</f>
        <v>0</v>
      </c>
      <c r="K21" s="23"/>
      <c r="L21" s="18"/>
    </row>
    <row r="22" spans="1:18" ht="30" customHeight="1" x14ac:dyDescent="0.3">
      <c r="A22" s="21"/>
      <c r="B22" s="266"/>
      <c r="C22" s="491"/>
      <c r="D22" s="346" t="s">
        <v>326</v>
      </c>
      <c r="E22" s="347"/>
      <c r="F22" s="347"/>
      <c r="G22" s="347"/>
      <c r="H22" s="347"/>
      <c r="I22" s="347"/>
      <c r="J22" s="33">
        <v>0</v>
      </c>
      <c r="K22" s="23"/>
      <c r="L22" s="18"/>
    </row>
    <row r="23" spans="1:18" ht="30" customHeight="1" x14ac:dyDescent="0.3">
      <c r="A23" s="21"/>
      <c r="B23" s="266"/>
      <c r="C23" s="491"/>
      <c r="D23" s="345" t="s">
        <v>323</v>
      </c>
      <c r="E23" s="343"/>
      <c r="F23" s="343"/>
      <c r="G23" s="343"/>
      <c r="H23" s="343"/>
      <c r="I23" s="343"/>
      <c r="J23" s="343"/>
      <c r="K23" s="23"/>
      <c r="L23" s="18"/>
    </row>
    <row r="24" spans="1:18" ht="184.5" customHeight="1" x14ac:dyDescent="0.3">
      <c r="A24" s="21"/>
      <c r="B24" s="266"/>
      <c r="C24" s="491"/>
      <c r="D24" s="47" t="s">
        <v>29</v>
      </c>
      <c r="E24" s="40" t="s">
        <v>30</v>
      </c>
      <c r="F24" s="42">
        <v>1</v>
      </c>
      <c r="G24" s="28">
        <f>IF(J21*10%&gt;=8000000,8000000,IF(J21*10%&lt;=1000000,1000000,J21*10%))</f>
        <v>1000000</v>
      </c>
      <c r="H24" s="43"/>
      <c r="I24" s="43"/>
      <c r="J24" s="42">
        <f>F24*G24</f>
        <v>1000000</v>
      </c>
      <c r="K24" s="23"/>
      <c r="L24" s="18"/>
    </row>
    <row r="25" spans="1:18" ht="45.75" customHeight="1" x14ac:dyDescent="0.3">
      <c r="A25" s="21"/>
      <c r="B25" s="266"/>
      <c r="C25" s="491"/>
      <c r="D25" s="39" t="s">
        <v>31</v>
      </c>
      <c r="E25" s="40"/>
      <c r="F25" s="42"/>
      <c r="G25" s="28"/>
      <c r="H25" s="43"/>
      <c r="I25" s="43"/>
      <c r="J25" s="42"/>
      <c r="K25" s="210">
        <f>J21+J22</f>
        <v>0</v>
      </c>
      <c r="L25" s="18"/>
    </row>
    <row r="26" spans="1:18" ht="30" customHeight="1" x14ac:dyDescent="0.3">
      <c r="A26" s="21"/>
      <c r="B26" s="266"/>
      <c r="C26" s="491"/>
      <c r="D26" s="190" t="s">
        <v>32</v>
      </c>
      <c r="E26" s="50"/>
      <c r="F26" s="51"/>
      <c r="G26" s="52"/>
      <c r="H26" s="52"/>
      <c r="I26" s="52"/>
      <c r="J26" s="52"/>
      <c r="K26" s="52"/>
      <c r="L26" s="18"/>
    </row>
    <row r="27" spans="1:18" ht="106.5" customHeight="1" x14ac:dyDescent="0.3">
      <c r="A27" s="21"/>
      <c r="B27" s="266"/>
      <c r="C27" s="491"/>
      <c r="D27" s="290" t="s">
        <v>33</v>
      </c>
      <c r="E27" s="258"/>
      <c r="F27" s="493" t="s">
        <v>34</v>
      </c>
      <c r="G27" s="493"/>
      <c r="H27" s="493"/>
      <c r="I27" s="493"/>
      <c r="J27" s="493"/>
      <c r="K27" s="190"/>
      <c r="L27" s="18"/>
    </row>
    <row r="28" spans="1:18" ht="50.1" customHeight="1" x14ac:dyDescent="0.25">
      <c r="A28" s="204"/>
      <c r="B28" s="204"/>
      <c r="C28" s="494"/>
      <c r="D28" s="204"/>
      <c r="E28" s="204"/>
      <c r="F28" s="204"/>
      <c r="G28" s="204"/>
      <c r="H28" s="204"/>
      <c r="I28" s="204"/>
      <c r="J28" s="204"/>
      <c r="K28" s="204"/>
      <c r="L28" s="204"/>
    </row>
    <row r="29" spans="1:18" ht="50.1" customHeight="1" x14ac:dyDescent="0.25">
      <c r="A29" s="204"/>
      <c r="B29" s="204"/>
      <c r="C29" s="494"/>
      <c r="D29" s="204"/>
      <c r="E29" s="204"/>
      <c r="F29" s="204"/>
      <c r="G29" s="204"/>
      <c r="H29" s="204"/>
      <c r="I29" s="204"/>
      <c r="J29" s="204"/>
      <c r="K29" s="204"/>
      <c r="L29" s="204"/>
    </row>
    <row r="30" spans="1:18" ht="50.1" customHeight="1" x14ac:dyDescent="0.25">
      <c r="A30" s="204"/>
      <c r="B30" s="204"/>
      <c r="C30" s="494"/>
      <c r="D30" s="204"/>
      <c r="E30" s="204"/>
      <c r="F30" s="204"/>
      <c r="G30" s="204"/>
      <c r="H30" s="204"/>
      <c r="I30" s="204"/>
      <c r="J30" s="204"/>
      <c r="K30" s="204"/>
      <c r="L30" s="204"/>
    </row>
    <row r="31" spans="1:18" ht="50.1" customHeight="1" x14ac:dyDescent="0.25">
      <c r="A31" s="204"/>
      <c r="B31" s="204"/>
      <c r="C31" s="494"/>
      <c r="D31" s="204"/>
      <c r="E31" s="204"/>
      <c r="F31" s="204"/>
      <c r="G31" s="204"/>
      <c r="H31" s="204"/>
      <c r="I31" s="204"/>
      <c r="J31" s="204"/>
      <c r="K31" s="204"/>
      <c r="L31" s="204"/>
      <c r="M31" s="182"/>
    </row>
    <row r="32" spans="1:18" ht="50.1" customHeight="1" x14ac:dyDescent="0.25">
      <c r="A32" s="204"/>
      <c r="B32" s="204"/>
      <c r="C32" s="494"/>
      <c r="D32" s="204"/>
      <c r="E32" s="204"/>
      <c r="F32" s="204"/>
      <c r="G32" s="204"/>
      <c r="H32" s="204"/>
      <c r="I32" s="204"/>
      <c r="J32" s="204"/>
      <c r="K32" s="204"/>
      <c r="L32" s="204"/>
    </row>
    <row r="33" spans="1:13" x14ac:dyDescent="0.25">
      <c r="A33" s="204"/>
      <c r="B33" s="204"/>
      <c r="C33" s="494"/>
      <c r="D33" s="204"/>
      <c r="E33" s="204"/>
      <c r="F33" s="204"/>
      <c r="G33" s="204"/>
      <c r="H33" s="204"/>
      <c r="I33" s="204"/>
      <c r="J33" s="204"/>
      <c r="K33" s="204"/>
      <c r="L33" s="204"/>
    </row>
    <row r="34" spans="1:13" ht="18.75" x14ac:dyDescent="0.25">
      <c r="A34" s="204"/>
      <c r="B34" s="204"/>
      <c r="C34" s="494"/>
      <c r="D34" s="204"/>
      <c r="E34" s="204"/>
      <c r="F34" s="204"/>
      <c r="G34" s="204"/>
      <c r="H34" s="204"/>
      <c r="I34" s="204"/>
      <c r="J34" s="204"/>
      <c r="K34" s="204"/>
      <c r="L34" s="204"/>
      <c r="M34" s="182"/>
    </row>
    <row r="35" spans="1:13" ht="18.75" x14ac:dyDescent="0.25">
      <c r="A35" s="204"/>
      <c r="B35" s="204"/>
      <c r="C35" s="494"/>
      <c r="D35" s="204"/>
      <c r="E35" s="204"/>
      <c r="F35" s="204"/>
      <c r="G35" s="204"/>
      <c r="H35" s="204"/>
      <c r="I35" s="204"/>
      <c r="J35" s="204"/>
      <c r="K35" s="204"/>
      <c r="L35" s="204"/>
      <c r="M35" s="182"/>
    </row>
    <row r="36" spans="1:13" x14ac:dyDescent="0.25">
      <c r="A36" s="204"/>
      <c r="B36" s="204"/>
      <c r="C36" s="494"/>
      <c r="D36" s="204"/>
      <c r="E36" s="204"/>
      <c r="F36" s="204"/>
      <c r="G36" s="204"/>
      <c r="H36" s="204"/>
      <c r="I36" s="204"/>
      <c r="J36" s="204"/>
      <c r="K36" s="204"/>
      <c r="L36" s="204"/>
    </row>
    <row r="37" spans="1:13" x14ac:dyDescent="0.25">
      <c r="A37" s="204"/>
      <c r="B37" s="204"/>
      <c r="C37" s="494"/>
      <c r="D37" s="204"/>
      <c r="E37" s="204"/>
      <c r="F37" s="204"/>
      <c r="G37" s="204"/>
      <c r="H37" s="204"/>
      <c r="I37" s="204"/>
      <c r="J37" s="204"/>
      <c r="K37" s="204"/>
      <c r="L37" s="204"/>
    </row>
    <row r="38" spans="1:13" x14ac:dyDescent="0.25">
      <c r="A38" s="204"/>
      <c r="B38" s="204"/>
      <c r="C38" s="494"/>
      <c r="D38" s="204"/>
      <c r="E38" s="204"/>
      <c r="F38" s="204"/>
      <c r="G38" s="204"/>
      <c r="H38" s="204"/>
      <c r="I38" s="204"/>
      <c r="J38" s="204"/>
      <c r="K38" s="204"/>
      <c r="L38" s="204"/>
    </row>
    <row r="39" spans="1:13" ht="87" customHeight="1" x14ac:dyDescent="0.25">
      <c r="A39" s="204"/>
      <c r="B39" s="204"/>
      <c r="C39" s="494"/>
      <c r="D39" s="204"/>
      <c r="E39" s="204"/>
      <c r="F39" s="204"/>
      <c r="G39" s="204"/>
      <c r="H39" s="204"/>
      <c r="I39" s="204"/>
      <c r="J39" s="204"/>
      <c r="K39" s="204"/>
      <c r="L39" s="204"/>
    </row>
    <row r="40" spans="1:13" x14ac:dyDescent="0.25">
      <c r="A40" s="204"/>
      <c r="B40" s="204"/>
      <c r="C40" s="494"/>
      <c r="D40" s="204"/>
      <c r="E40" s="204"/>
      <c r="F40" s="204"/>
      <c r="G40" s="204"/>
      <c r="H40" s="204"/>
      <c r="I40" s="204"/>
      <c r="J40" s="204"/>
      <c r="K40" s="204"/>
      <c r="L40" s="204"/>
    </row>
    <row r="41" spans="1:13" x14ac:dyDescent="0.25">
      <c r="A41" s="204"/>
      <c r="B41" s="204"/>
      <c r="C41" s="494"/>
      <c r="D41" s="204"/>
      <c r="E41" s="204"/>
      <c r="F41" s="204"/>
      <c r="G41" s="204"/>
      <c r="H41" s="204"/>
      <c r="I41" s="204"/>
      <c r="J41" s="204"/>
      <c r="K41" s="204"/>
      <c r="L41" s="204"/>
    </row>
    <row r="42" spans="1:13" ht="74.25" customHeight="1" x14ac:dyDescent="0.25">
      <c r="A42" s="204"/>
      <c r="B42" s="204"/>
      <c r="C42" s="494"/>
      <c r="D42" s="204"/>
      <c r="E42" s="204"/>
      <c r="F42" s="204"/>
      <c r="G42" s="204"/>
      <c r="H42" s="204"/>
      <c r="I42" s="204"/>
      <c r="J42" s="204"/>
      <c r="K42" s="204"/>
      <c r="L42" s="204"/>
    </row>
    <row r="43" spans="1:13" x14ac:dyDescent="0.25">
      <c r="A43" s="204"/>
      <c r="B43" s="204"/>
      <c r="C43" s="494"/>
      <c r="D43" s="204"/>
      <c r="E43" s="204"/>
      <c r="F43" s="204"/>
      <c r="G43" s="204"/>
      <c r="H43" s="204"/>
      <c r="I43" s="204"/>
      <c r="J43" s="204"/>
      <c r="K43" s="204"/>
      <c r="L43" s="204"/>
    </row>
    <row r="44" spans="1:13" x14ac:dyDescent="0.25">
      <c r="A44" s="204"/>
      <c r="B44" s="204"/>
      <c r="C44" s="494"/>
      <c r="D44" s="204"/>
      <c r="E44" s="204"/>
      <c r="F44" s="204"/>
      <c r="G44" s="204"/>
      <c r="H44" s="204"/>
      <c r="I44" s="204"/>
      <c r="J44" s="204"/>
      <c r="K44" s="204"/>
      <c r="L44" s="204"/>
    </row>
    <row r="45" spans="1:13" ht="144.75" customHeight="1" x14ac:dyDescent="0.25">
      <c r="A45" s="204"/>
      <c r="B45" s="204"/>
      <c r="C45" s="494"/>
      <c r="D45" s="204"/>
      <c r="E45" s="204"/>
      <c r="F45" s="204"/>
      <c r="G45" s="204"/>
      <c r="H45" s="204"/>
      <c r="I45" s="204"/>
      <c r="J45" s="204"/>
      <c r="K45" s="204"/>
      <c r="L45" s="204"/>
    </row>
    <row r="46" spans="1:13" x14ac:dyDescent="0.25">
      <c r="A46" s="204"/>
      <c r="B46" s="204"/>
      <c r="C46" s="494"/>
      <c r="D46" s="204"/>
      <c r="E46" s="204"/>
      <c r="F46" s="204"/>
      <c r="G46" s="204"/>
      <c r="H46" s="204"/>
      <c r="I46" s="204"/>
      <c r="J46" s="204"/>
      <c r="K46" s="204"/>
      <c r="L46" s="204"/>
    </row>
    <row r="47" spans="1:13" ht="398.25" customHeight="1" x14ac:dyDescent="0.25">
      <c r="A47" s="216"/>
      <c r="B47" s="216"/>
      <c r="C47" s="495"/>
      <c r="D47" s="216"/>
      <c r="E47" s="216"/>
      <c r="F47" s="216"/>
      <c r="G47" s="216"/>
      <c r="H47" s="216"/>
      <c r="I47" s="216"/>
      <c r="J47" s="216"/>
      <c r="K47" s="216"/>
      <c r="L47" s="216"/>
    </row>
  </sheetData>
  <mergeCells count="7">
    <mergeCell ref="C4:C47"/>
    <mergeCell ref="B5:B8"/>
    <mergeCell ref="D10:J10"/>
    <mergeCell ref="G11:J11"/>
    <mergeCell ref="E18:I18"/>
    <mergeCell ref="E19:I19"/>
    <mergeCell ref="F27:J27"/>
  </mergeCells>
  <pageMargins left="0.7" right="0.7" top="0.75" bottom="0.75" header="0.3" footer="0.3"/>
  <pageSetup paperSize="9" scale="53" fitToHeight="0" orientation="landscape" verticalDpi="0" r:id="rId1"/>
  <headerFooter>
    <oddFooter>&amp;C&amp;A/&amp;P-&amp;N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topLeftCell="A13" zoomScale="70" zoomScaleNormal="70" workbookViewId="0">
      <selection activeCell="D14" sqref="D14:J14"/>
    </sheetView>
  </sheetViews>
  <sheetFormatPr defaultColWidth="9" defaultRowHeight="15" x14ac:dyDescent="0.25"/>
  <cols>
    <col min="1" max="1" width="4.85546875" style="99" customWidth="1"/>
    <col min="2" max="2" width="24.7109375" style="99" customWidth="1"/>
    <col min="3" max="3" width="68.5703125" style="99" customWidth="1"/>
    <col min="4" max="4" width="55.5703125" style="99" customWidth="1"/>
    <col min="5" max="5" width="8.5703125" style="99" customWidth="1"/>
    <col min="6" max="6" width="9.42578125" style="99" customWidth="1"/>
    <col min="7" max="7" width="11.140625" style="99" customWidth="1"/>
    <col min="8" max="8" width="7.42578125" style="99" customWidth="1"/>
    <col min="9" max="9" width="11" style="99" customWidth="1"/>
    <col min="10" max="10" width="17.42578125" style="99" customWidth="1"/>
    <col min="11" max="11" width="15.5703125"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60.75" customHeight="1"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45.75" customHeight="1" x14ac:dyDescent="0.3">
      <c r="A4" s="15">
        <v>15</v>
      </c>
      <c r="B4" s="159" t="s">
        <v>363</v>
      </c>
      <c r="C4" s="498" t="s">
        <v>483</v>
      </c>
      <c r="D4" s="78"/>
      <c r="E4" s="79"/>
      <c r="F4" s="79"/>
      <c r="G4" s="79"/>
      <c r="H4" s="79"/>
      <c r="I4" s="79"/>
      <c r="J4" s="80"/>
      <c r="K4" s="81"/>
      <c r="L4" s="17"/>
    </row>
    <row r="5" spans="1:18" ht="30" customHeight="1" x14ac:dyDescent="0.3">
      <c r="A5" s="18"/>
      <c r="B5" s="433" t="s">
        <v>327</v>
      </c>
      <c r="C5" s="499"/>
      <c r="D5" s="82" t="s">
        <v>13</v>
      </c>
      <c r="E5" s="83"/>
      <c r="F5" s="83"/>
      <c r="G5" s="83"/>
      <c r="H5" s="83"/>
      <c r="I5" s="83"/>
      <c r="J5" s="160">
        <f>J11</f>
        <v>0</v>
      </c>
      <c r="K5" s="86"/>
      <c r="L5" s="18"/>
    </row>
    <row r="6" spans="1:18" ht="30" customHeight="1" x14ac:dyDescent="0.3">
      <c r="A6" s="18"/>
      <c r="B6" s="434"/>
      <c r="C6" s="499"/>
      <c r="D6" s="19" t="s">
        <v>328</v>
      </c>
      <c r="E6" s="87" t="s">
        <v>14</v>
      </c>
      <c r="F6" s="201">
        <v>200</v>
      </c>
      <c r="G6" s="89"/>
      <c r="H6" s="90"/>
      <c r="I6" s="90"/>
      <c r="J6" s="89"/>
      <c r="K6" s="91"/>
      <c r="L6" s="18"/>
    </row>
    <row r="7" spans="1:18" ht="30" customHeight="1" x14ac:dyDescent="0.3">
      <c r="A7" s="18"/>
      <c r="B7" s="434"/>
      <c r="C7" s="499"/>
      <c r="D7" s="95" t="s">
        <v>228</v>
      </c>
      <c r="E7" s="20" t="s">
        <v>14</v>
      </c>
      <c r="F7" s="202">
        <v>200</v>
      </c>
      <c r="G7" s="94"/>
      <c r="H7" s="90"/>
      <c r="I7" s="90"/>
      <c r="J7" s="89"/>
      <c r="K7" s="91"/>
      <c r="L7" s="18"/>
    </row>
    <row r="8" spans="1:18" ht="30" customHeight="1" x14ac:dyDescent="0.3">
      <c r="A8" s="21"/>
      <c r="B8" s="434"/>
      <c r="C8" s="499"/>
      <c r="D8" s="95" t="s">
        <v>15</v>
      </c>
      <c r="E8" s="20" t="s">
        <v>14</v>
      </c>
      <c r="F8" s="202">
        <v>0</v>
      </c>
      <c r="G8" s="89"/>
      <c r="H8" s="90"/>
      <c r="I8" s="90"/>
      <c r="J8" s="94"/>
      <c r="K8" s="91"/>
      <c r="L8" s="18"/>
    </row>
    <row r="9" spans="1:18" ht="30" customHeight="1" x14ac:dyDescent="0.3">
      <c r="A9" s="21"/>
      <c r="B9" s="223"/>
      <c r="C9" s="499"/>
      <c r="D9" s="19" t="s">
        <v>282</v>
      </c>
      <c r="E9" s="87" t="s">
        <v>14</v>
      </c>
      <c r="F9" s="97">
        <f>SUM(F7)</f>
        <v>200</v>
      </c>
      <c r="G9" s="89"/>
      <c r="H9" s="90"/>
      <c r="I9" s="90"/>
      <c r="J9" s="89"/>
      <c r="K9" s="91"/>
      <c r="L9" s="18"/>
    </row>
    <row r="10" spans="1:18" ht="119.25" customHeight="1" x14ac:dyDescent="0.3">
      <c r="A10" s="21"/>
      <c r="B10" s="224" t="s">
        <v>329</v>
      </c>
      <c r="C10" s="499"/>
      <c r="D10" s="488" t="s">
        <v>313</v>
      </c>
      <c r="E10" s="488"/>
      <c r="F10" s="488"/>
      <c r="G10" s="488"/>
      <c r="H10" s="488"/>
      <c r="I10" s="488"/>
      <c r="J10" s="488"/>
      <c r="K10" s="23"/>
      <c r="L10" s="18"/>
    </row>
    <row r="11" spans="1:18" ht="94.5" customHeight="1" x14ac:dyDescent="0.3">
      <c r="A11" s="21"/>
      <c r="B11" s="167"/>
      <c r="C11" s="499"/>
      <c r="D11" s="284" t="s">
        <v>330</v>
      </c>
      <c r="E11" s="285" t="s">
        <v>14</v>
      </c>
      <c r="F11" s="286">
        <f>F9</f>
        <v>200</v>
      </c>
      <c r="G11" s="489" t="s">
        <v>315</v>
      </c>
      <c r="H11" s="489"/>
      <c r="I11" s="489"/>
      <c r="J11" s="489"/>
      <c r="K11" s="291"/>
      <c r="L11" s="18"/>
    </row>
    <row r="12" spans="1:18" ht="30" customHeight="1" x14ac:dyDescent="0.3">
      <c r="A12" s="21"/>
      <c r="B12" s="226"/>
      <c r="C12" s="499"/>
      <c r="D12" s="19" t="s">
        <v>19</v>
      </c>
      <c r="E12" s="26"/>
      <c r="F12" s="27"/>
      <c r="G12" s="24"/>
      <c r="H12" s="25"/>
      <c r="I12" s="25"/>
      <c r="J12" s="98">
        <f>J13+J25+J26</f>
        <v>122579023</v>
      </c>
      <c r="K12" s="23"/>
      <c r="L12" s="18"/>
    </row>
    <row r="13" spans="1:18" ht="18.75" x14ac:dyDescent="0.3">
      <c r="A13" s="21"/>
      <c r="B13" s="166" t="s">
        <v>17</v>
      </c>
      <c r="C13" s="499"/>
      <c r="D13" s="19" t="s">
        <v>20</v>
      </c>
      <c r="E13" s="26"/>
      <c r="F13" s="27"/>
      <c r="G13" s="24"/>
      <c r="H13" s="25"/>
      <c r="I13" s="25"/>
      <c r="J13" s="98">
        <f>SUM(J15:J24)</f>
        <v>122243023</v>
      </c>
      <c r="K13" s="23"/>
      <c r="L13" s="18"/>
    </row>
    <row r="14" spans="1:18" ht="303" customHeight="1" x14ac:dyDescent="0.3">
      <c r="A14" s="21"/>
      <c r="B14" s="22" t="s">
        <v>18</v>
      </c>
      <c r="C14" s="499"/>
      <c r="D14" s="394" t="s">
        <v>480</v>
      </c>
      <c r="E14" s="395"/>
      <c r="F14" s="395"/>
      <c r="G14" s="395"/>
      <c r="H14" s="395"/>
      <c r="I14" s="395"/>
      <c r="J14" s="396"/>
      <c r="K14" s="23"/>
      <c r="L14" s="18"/>
    </row>
    <row r="15" spans="1:18" ht="62.25" customHeight="1" x14ac:dyDescent="0.3">
      <c r="A15" s="21"/>
      <c r="B15" s="167"/>
      <c r="C15" s="499"/>
      <c r="D15" s="168" t="s">
        <v>481</v>
      </c>
      <c r="E15" s="177" t="s">
        <v>331</v>
      </c>
      <c r="F15" s="169">
        <v>48</v>
      </c>
      <c r="G15" s="170">
        <f>ROUND((2401296+2401296*15%),0)</f>
        <v>2761490</v>
      </c>
      <c r="H15" s="171"/>
      <c r="I15" s="172">
        <v>0.7</v>
      </c>
      <c r="J15" s="173">
        <f>ROUND((F15*G15*I15),0)</f>
        <v>92786064</v>
      </c>
      <c r="K15" s="174"/>
      <c r="L15" s="174"/>
    </row>
    <row r="16" spans="1:18" ht="174" customHeight="1" x14ac:dyDescent="0.3">
      <c r="A16" s="21"/>
      <c r="B16" s="266"/>
      <c r="C16" s="499"/>
      <c r="D16" s="292" t="s">
        <v>332</v>
      </c>
      <c r="E16" s="177"/>
      <c r="F16" s="169" t="s">
        <v>186</v>
      </c>
      <c r="G16" s="170"/>
      <c r="H16" s="171"/>
      <c r="I16" s="172"/>
      <c r="J16" s="173"/>
      <c r="K16" s="174"/>
      <c r="L16" s="174"/>
      <c r="R16" s="99" t="s">
        <v>125</v>
      </c>
    </row>
    <row r="17" spans="1:12" ht="41.25" x14ac:dyDescent="0.3">
      <c r="A17" s="21"/>
      <c r="B17" s="167"/>
      <c r="C17" s="499"/>
      <c r="D17" s="293" t="s">
        <v>482</v>
      </c>
      <c r="E17" s="177" t="s">
        <v>331</v>
      </c>
      <c r="F17" s="169">
        <v>16</v>
      </c>
      <c r="G17" s="170">
        <v>1259097</v>
      </c>
      <c r="H17" s="171"/>
      <c r="I17" s="172">
        <v>0.7</v>
      </c>
      <c r="J17" s="173">
        <f>ROUND((F17*G17*I17),0)</f>
        <v>14101886</v>
      </c>
      <c r="K17" s="174"/>
      <c r="L17" s="174"/>
    </row>
    <row r="18" spans="1:12" ht="75" x14ac:dyDescent="0.3">
      <c r="A18" s="21"/>
      <c r="B18" s="266"/>
      <c r="C18" s="499"/>
      <c r="D18" s="110" t="s">
        <v>46</v>
      </c>
      <c r="E18" s="177"/>
      <c r="F18" s="169"/>
      <c r="G18" s="170"/>
      <c r="H18" s="171"/>
      <c r="I18" s="172"/>
      <c r="J18" s="173"/>
      <c r="K18" s="174"/>
      <c r="L18" s="174"/>
    </row>
    <row r="19" spans="1:12" ht="37.5" x14ac:dyDescent="0.3">
      <c r="A19" s="21"/>
      <c r="B19" s="266"/>
      <c r="C19" s="499"/>
      <c r="D19" s="293" t="s">
        <v>333</v>
      </c>
      <c r="E19" s="177" t="s">
        <v>132</v>
      </c>
      <c r="F19" s="169">
        <v>1.6</v>
      </c>
      <c r="G19" s="170">
        <f>ROUND((3855960-3855960*15%),0)</f>
        <v>3277566</v>
      </c>
      <c r="H19" s="171"/>
      <c r="I19" s="172">
        <v>1</v>
      </c>
      <c r="J19" s="173">
        <f>ROUND((F19*G19*I19),0)</f>
        <v>5244106</v>
      </c>
      <c r="K19" s="174"/>
      <c r="L19" s="174"/>
    </row>
    <row r="20" spans="1:12" ht="169.5" x14ac:dyDescent="0.3">
      <c r="A20" s="21"/>
      <c r="B20" s="266"/>
      <c r="C20" s="499"/>
      <c r="D20" s="105" t="s">
        <v>334</v>
      </c>
      <c r="E20" s="177"/>
      <c r="F20" s="169"/>
      <c r="G20" s="170"/>
      <c r="H20" s="171"/>
      <c r="I20" s="172"/>
      <c r="J20" s="173"/>
      <c r="K20" s="174"/>
      <c r="L20" s="174"/>
    </row>
    <row r="21" spans="1:12" ht="37.5" x14ac:dyDescent="0.3">
      <c r="A21" s="21"/>
      <c r="B21" s="266"/>
      <c r="C21" s="499"/>
      <c r="D21" s="206" t="s">
        <v>335</v>
      </c>
      <c r="E21" s="177" t="s">
        <v>132</v>
      </c>
      <c r="F21" s="169">
        <v>8.5</v>
      </c>
      <c r="G21" s="170">
        <f>ROUND((537955-537955*15%),)</f>
        <v>457262</v>
      </c>
      <c r="H21" s="171"/>
      <c r="I21" s="172">
        <v>1</v>
      </c>
      <c r="J21" s="173">
        <f>ROUND((F21*G21*I21),0)</f>
        <v>3886727</v>
      </c>
      <c r="K21" s="174"/>
      <c r="L21" s="174"/>
    </row>
    <row r="22" spans="1:12" ht="150" x14ac:dyDescent="0.3">
      <c r="A22" s="21"/>
      <c r="B22" s="266"/>
      <c r="C22" s="499"/>
      <c r="D22" s="207" t="s">
        <v>336</v>
      </c>
      <c r="E22" s="177"/>
      <c r="F22" s="169"/>
      <c r="G22" s="170"/>
      <c r="H22" s="171"/>
      <c r="I22" s="172"/>
      <c r="J22" s="173"/>
      <c r="K22" s="174"/>
      <c r="L22" s="174"/>
    </row>
    <row r="23" spans="1:12" ht="37.5" x14ac:dyDescent="0.3">
      <c r="A23" s="21"/>
      <c r="B23" s="266"/>
      <c r="C23" s="499"/>
      <c r="D23" s="206" t="s">
        <v>337</v>
      </c>
      <c r="E23" s="177" t="s">
        <v>132</v>
      </c>
      <c r="F23" s="169">
        <v>20</v>
      </c>
      <c r="G23" s="170">
        <f>ROUND((366132-366132*15%),0)</f>
        <v>311212</v>
      </c>
      <c r="H23" s="171"/>
      <c r="I23" s="172">
        <v>1</v>
      </c>
      <c r="J23" s="173">
        <f>ROUND((F23*G23*I23),0)</f>
        <v>6224240</v>
      </c>
      <c r="K23" s="174"/>
      <c r="L23" s="174"/>
    </row>
    <row r="24" spans="1:12" ht="150" x14ac:dyDescent="0.3">
      <c r="A24" s="21"/>
      <c r="B24" s="266"/>
      <c r="C24" s="499"/>
      <c r="D24" s="207" t="s">
        <v>338</v>
      </c>
      <c r="E24" s="177"/>
      <c r="F24" s="169"/>
      <c r="G24" s="170"/>
      <c r="H24" s="171"/>
      <c r="I24" s="172"/>
      <c r="J24" s="173"/>
      <c r="K24" s="174"/>
      <c r="L24" s="174"/>
    </row>
    <row r="25" spans="1:12" ht="18.75" x14ac:dyDescent="0.3">
      <c r="A25" s="21"/>
      <c r="B25" s="266"/>
      <c r="C25" s="499"/>
      <c r="D25" s="179" t="s">
        <v>22</v>
      </c>
      <c r="E25" s="171"/>
      <c r="F25" s="169"/>
      <c r="G25" s="169"/>
      <c r="H25" s="171"/>
      <c r="I25" s="171"/>
      <c r="J25" s="180">
        <v>0</v>
      </c>
      <c r="K25" s="174"/>
      <c r="L25" s="174"/>
    </row>
    <row r="26" spans="1:12" ht="18.75" x14ac:dyDescent="0.3">
      <c r="A26" s="21"/>
      <c r="B26" s="266"/>
      <c r="C26" s="499"/>
      <c r="D26" s="19" t="s">
        <v>23</v>
      </c>
      <c r="E26" s="171"/>
      <c r="F26" s="169"/>
      <c r="G26" s="169"/>
      <c r="H26" s="171"/>
      <c r="I26" s="171"/>
      <c r="J26" s="98">
        <f>SUM(J28)</f>
        <v>336000</v>
      </c>
      <c r="K26" s="174"/>
      <c r="L26" s="181"/>
    </row>
    <row r="27" spans="1:12" ht="147.75" customHeight="1" x14ac:dyDescent="0.3">
      <c r="A27" s="21"/>
      <c r="B27" s="266"/>
      <c r="C27" s="499"/>
      <c r="D27" s="398" t="s">
        <v>36</v>
      </c>
      <c r="E27" s="399"/>
      <c r="F27" s="399"/>
      <c r="G27" s="399"/>
      <c r="H27" s="399"/>
      <c r="I27" s="399"/>
      <c r="J27" s="400"/>
      <c r="K27" s="23"/>
      <c r="L27" s="18"/>
    </row>
    <row r="28" spans="1:12" ht="56.25" x14ac:dyDescent="0.3">
      <c r="A28" s="21"/>
      <c r="B28" s="266"/>
      <c r="C28" s="499"/>
      <c r="D28" s="69" t="s">
        <v>339</v>
      </c>
      <c r="E28" s="20" t="s">
        <v>24</v>
      </c>
      <c r="F28" s="35">
        <v>2</v>
      </c>
      <c r="G28" s="24">
        <v>168000</v>
      </c>
      <c r="H28" s="172">
        <v>1</v>
      </c>
      <c r="I28" s="24"/>
      <c r="J28" s="173">
        <f>ROUND((F28*G28*H28),0)</f>
        <v>336000</v>
      </c>
      <c r="K28" s="67"/>
      <c r="L28" s="67"/>
    </row>
    <row r="29" spans="1:12" ht="18.75" x14ac:dyDescent="0.3">
      <c r="A29" s="21"/>
      <c r="B29" s="266"/>
      <c r="C29" s="499"/>
      <c r="D29" s="19" t="s">
        <v>25</v>
      </c>
      <c r="E29" s="26"/>
      <c r="F29" s="27"/>
      <c r="G29" s="186"/>
      <c r="H29" s="187"/>
      <c r="I29" s="187"/>
      <c r="J29" s="29">
        <v>0</v>
      </c>
      <c r="K29" s="23"/>
      <c r="L29" s="18"/>
    </row>
    <row r="30" spans="1:12" ht="18.75" x14ac:dyDescent="0.3">
      <c r="A30" s="21"/>
      <c r="B30" s="21"/>
      <c r="C30" s="499"/>
      <c r="D30" s="30" t="s">
        <v>318</v>
      </c>
      <c r="E30" s="31"/>
      <c r="F30" s="32"/>
      <c r="G30" s="188"/>
      <c r="H30" s="189"/>
      <c r="I30" s="189"/>
      <c r="J30" s="33">
        <f>SUM(J31:J33)</f>
        <v>0</v>
      </c>
      <c r="K30" s="23"/>
      <c r="L30" s="18"/>
    </row>
    <row r="31" spans="1:12" ht="167.25" customHeight="1" x14ac:dyDescent="0.3">
      <c r="A31" s="21"/>
      <c r="B31" s="21"/>
      <c r="C31" s="499"/>
      <c r="D31" s="68" t="s">
        <v>340</v>
      </c>
      <c r="E31" s="496" t="s">
        <v>319</v>
      </c>
      <c r="F31" s="496"/>
      <c r="G31" s="496"/>
      <c r="H31" s="496"/>
      <c r="I31" s="496"/>
      <c r="J31" s="246">
        <v>0</v>
      </c>
      <c r="K31" s="23"/>
      <c r="L31" s="18"/>
    </row>
    <row r="32" spans="1:12" ht="139.5" customHeight="1" x14ac:dyDescent="0.3">
      <c r="A32" s="21"/>
      <c r="B32" s="21"/>
      <c r="C32" s="499"/>
      <c r="D32" s="68" t="s">
        <v>341</v>
      </c>
      <c r="E32" s="497" t="s">
        <v>320</v>
      </c>
      <c r="F32" s="497"/>
      <c r="G32" s="497"/>
      <c r="H32" s="497"/>
      <c r="I32" s="497"/>
      <c r="J32" s="188">
        <v>0</v>
      </c>
      <c r="K32" s="23"/>
      <c r="L32" s="18"/>
    </row>
    <row r="33" spans="1:13" ht="18.75" x14ac:dyDescent="0.3">
      <c r="A33" s="18"/>
      <c r="B33" s="18"/>
      <c r="C33" s="499"/>
      <c r="D33" s="68" t="s">
        <v>321</v>
      </c>
      <c r="E33" s="289"/>
      <c r="F33" s="289"/>
      <c r="G33" s="289"/>
      <c r="H33" s="289"/>
      <c r="I33" s="289"/>
      <c r="J33" s="59">
        <v>0</v>
      </c>
      <c r="K33" s="23"/>
      <c r="L33" s="18"/>
    </row>
    <row r="34" spans="1:13" ht="37.5" x14ac:dyDescent="0.3">
      <c r="A34" s="18"/>
      <c r="B34" s="18"/>
      <c r="C34" s="499"/>
      <c r="D34" s="39" t="s">
        <v>322</v>
      </c>
      <c r="E34" s="40"/>
      <c r="F34" s="41"/>
      <c r="G34" s="42"/>
      <c r="H34" s="43"/>
      <c r="I34" s="43"/>
      <c r="J34" s="44">
        <f>J5+J12+J29+J30</f>
        <v>122579023</v>
      </c>
      <c r="K34" s="23"/>
      <c r="L34" s="18"/>
      <c r="M34" s="182"/>
    </row>
    <row r="35" spans="1:13" ht="18.75" x14ac:dyDescent="0.3">
      <c r="A35" s="18"/>
      <c r="B35" s="18"/>
      <c r="C35" s="499"/>
      <c r="D35" s="19" t="s">
        <v>27</v>
      </c>
      <c r="E35" s="31"/>
      <c r="F35" s="45"/>
      <c r="G35" s="37"/>
      <c r="H35" s="37"/>
      <c r="I35" s="37"/>
      <c r="J35" s="33">
        <f>J37</f>
        <v>8000000</v>
      </c>
      <c r="K35" s="23"/>
      <c r="L35" s="18"/>
    </row>
    <row r="36" spans="1:13" ht="45.75" customHeight="1" x14ac:dyDescent="0.3">
      <c r="A36" s="18"/>
      <c r="B36" s="18"/>
      <c r="C36" s="499"/>
      <c r="D36" s="345" t="s">
        <v>324</v>
      </c>
      <c r="E36" s="343"/>
      <c r="F36" s="343"/>
      <c r="G36" s="343"/>
      <c r="H36" s="343"/>
      <c r="I36" s="343"/>
      <c r="J36" s="343"/>
      <c r="K36" s="23"/>
      <c r="L36" s="18"/>
    </row>
    <row r="37" spans="1:13" ht="181.5" customHeight="1" x14ac:dyDescent="0.3">
      <c r="A37" s="18"/>
      <c r="B37" s="18"/>
      <c r="C37" s="499"/>
      <c r="D37" s="47" t="s">
        <v>342</v>
      </c>
      <c r="E37" s="40" t="s">
        <v>30</v>
      </c>
      <c r="F37" s="42">
        <v>1</v>
      </c>
      <c r="G37" s="28">
        <f>IF(J34*10%&gt;=8000000,8000000,IF(J34*10%&lt;=1000000,1000000,J34*10%))</f>
        <v>8000000</v>
      </c>
      <c r="H37" s="43"/>
      <c r="I37" s="43"/>
      <c r="J37" s="42">
        <f>F37*G37</f>
        <v>8000000</v>
      </c>
      <c r="K37" s="23"/>
      <c r="L37" s="18"/>
      <c r="M37" s="182"/>
    </row>
    <row r="38" spans="1:13" ht="37.5" x14ac:dyDescent="0.3">
      <c r="A38" s="18"/>
      <c r="B38" s="18"/>
      <c r="C38" s="499"/>
      <c r="D38" s="39" t="s">
        <v>31</v>
      </c>
      <c r="E38" s="40"/>
      <c r="F38" s="42"/>
      <c r="G38" s="294"/>
      <c r="H38" s="43"/>
      <c r="I38" s="43"/>
      <c r="J38" s="42"/>
      <c r="K38" s="210">
        <f>J34+J35</f>
        <v>130579023</v>
      </c>
      <c r="L38" s="18"/>
      <c r="M38" s="182"/>
    </row>
    <row r="39" spans="1:13" ht="18.75" x14ac:dyDescent="0.3">
      <c r="A39" s="18"/>
      <c r="B39" s="18"/>
      <c r="C39" s="499"/>
      <c r="D39" s="190" t="s">
        <v>32</v>
      </c>
      <c r="E39" s="50"/>
      <c r="F39" s="51"/>
      <c r="G39" s="52"/>
      <c r="H39" s="52"/>
      <c r="I39" s="52"/>
      <c r="J39" s="52"/>
      <c r="K39" s="52"/>
      <c r="L39" s="18"/>
    </row>
    <row r="40" spans="1:13" ht="93.75" x14ac:dyDescent="0.3">
      <c r="A40" s="53"/>
      <c r="B40" s="53"/>
      <c r="C40" s="500"/>
      <c r="D40" s="54" t="s">
        <v>33</v>
      </c>
      <c r="E40" s="55"/>
      <c r="F40" s="397" t="s">
        <v>34</v>
      </c>
      <c r="G40" s="397"/>
      <c r="H40" s="397"/>
      <c r="I40" s="397"/>
      <c r="J40" s="397"/>
      <c r="K40" s="56"/>
      <c r="L40" s="53"/>
    </row>
    <row r="41" spans="1:13" ht="18.75" x14ac:dyDescent="0.25">
      <c r="C41" s="191"/>
    </row>
    <row r="42" spans="1:13" ht="18.75" x14ac:dyDescent="0.25">
      <c r="C42" s="191"/>
    </row>
    <row r="43" spans="1:13" ht="18.75" x14ac:dyDescent="0.25">
      <c r="C43" s="191"/>
    </row>
    <row r="44" spans="1:13" ht="18.75" x14ac:dyDescent="0.25">
      <c r="C44" s="191"/>
    </row>
    <row r="45" spans="1:13" ht="18.75" x14ac:dyDescent="0.25">
      <c r="C45" s="191"/>
    </row>
    <row r="46" spans="1:13" ht="18.75" x14ac:dyDescent="0.25">
      <c r="C46" s="191"/>
    </row>
    <row r="47" spans="1:13" ht="18.75" x14ac:dyDescent="0.25">
      <c r="C47" s="191"/>
    </row>
    <row r="48" spans="1:13" ht="18.75" x14ac:dyDescent="0.25">
      <c r="C48" s="191"/>
    </row>
    <row r="49" spans="3:3" ht="18.75" x14ac:dyDescent="0.25">
      <c r="C49" s="191"/>
    </row>
    <row r="50" spans="3:3" ht="18.75" x14ac:dyDescent="0.25">
      <c r="C50" s="191"/>
    </row>
    <row r="51" spans="3:3" ht="18.75" x14ac:dyDescent="0.25">
      <c r="C51" s="191"/>
    </row>
    <row r="52" spans="3:3" ht="18.75" x14ac:dyDescent="0.25">
      <c r="C52" s="191"/>
    </row>
    <row r="53" spans="3:3" ht="18.75" x14ac:dyDescent="0.25">
      <c r="C53" s="191"/>
    </row>
    <row r="54" spans="3:3" ht="18.75" x14ac:dyDescent="0.25">
      <c r="C54" s="191"/>
    </row>
    <row r="55" spans="3:3" ht="18.75" x14ac:dyDescent="0.25">
      <c r="C55" s="191"/>
    </row>
    <row r="56" spans="3:3" ht="18.75" x14ac:dyDescent="0.25">
      <c r="C56" s="191"/>
    </row>
    <row r="57" spans="3:3" ht="18.75" x14ac:dyDescent="0.25">
      <c r="C57" s="191"/>
    </row>
    <row r="58" spans="3:3" ht="18.75" x14ac:dyDescent="0.25">
      <c r="C58" s="191"/>
    </row>
    <row r="59" spans="3:3" ht="18.75" x14ac:dyDescent="0.25">
      <c r="C59" s="191"/>
    </row>
    <row r="60" spans="3:3" ht="18.75" x14ac:dyDescent="0.25">
      <c r="C60" s="191"/>
    </row>
    <row r="61" spans="3:3" ht="18.75" x14ac:dyDescent="0.25">
      <c r="C61" s="191"/>
    </row>
    <row r="62" spans="3:3" ht="18.75" x14ac:dyDescent="0.25">
      <c r="C62" s="191"/>
    </row>
  </sheetData>
  <mergeCells count="9">
    <mergeCell ref="C4:C40"/>
    <mergeCell ref="B5:B8"/>
    <mergeCell ref="D10:J10"/>
    <mergeCell ref="G11:J11"/>
    <mergeCell ref="D14:J14"/>
    <mergeCell ref="D27:J27"/>
    <mergeCell ref="E31:I31"/>
    <mergeCell ref="E32:I32"/>
    <mergeCell ref="F40:J40"/>
  </mergeCells>
  <pageMargins left="0.7" right="0.7" top="0.75" bottom="0.75" header="0.3" footer="0.3"/>
  <pageSetup paperSize="9" scale="54" fitToHeight="0" orientation="landscape" verticalDpi="0" r:id="rId1"/>
  <headerFooter>
    <oddFooter>&amp;C&amp;A/&amp;P-&amp;N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topLeftCell="A13" zoomScale="70" zoomScaleNormal="70" workbookViewId="0">
      <selection activeCell="H9" sqref="H9"/>
    </sheetView>
  </sheetViews>
  <sheetFormatPr defaultColWidth="9" defaultRowHeight="15" x14ac:dyDescent="0.25"/>
  <cols>
    <col min="1" max="1" width="4.85546875" style="99" customWidth="1"/>
    <col min="2" max="2" width="24.7109375" style="99" customWidth="1"/>
    <col min="3" max="3" width="65" style="99" customWidth="1"/>
    <col min="4" max="4" width="55.5703125" style="99" customWidth="1"/>
    <col min="5" max="5" width="8.5703125" style="99" customWidth="1"/>
    <col min="6" max="6" width="9.42578125" style="99" customWidth="1"/>
    <col min="7" max="7" width="11.140625" style="99" customWidth="1"/>
    <col min="8" max="8" width="7.42578125" style="99" customWidth="1"/>
    <col min="9" max="9" width="11" style="99" customWidth="1"/>
    <col min="10" max="10" width="17.42578125" style="99" customWidth="1"/>
    <col min="11" max="11" width="15.5703125"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60.75" customHeight="1"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84.75" customHeight="1" x14ac:dyDescent="0.3">
      <c r="A4" s="15">
        <v>16</v>
      </c>
      <c r="B4" s="159" t="s">
        <v>363</v>
      </c>
      <c r="C4" s="498" t="s">
        <v>484</v>
      </c>
      <c r="D4" s="78"/>
      <c r="E4" s="79"/>
      <c r="F4" s="79"/>
      <c r="G4" s="79"/>
      <c r="H4" s="79"/>
      <c r="I4" s="79"/>
      <c r="J4" s="80"/>
      <c r="K4" s="81"/>
      <c r="L4" s="17"/>
    </row>
    <row r="5" spans="1:18" ht="77.25" customHeight="1" x14ac:dyDescent="0.3">
      <c r="A5" s="18"/>
      <c r="B5" s="433" t="s">
        <v>327</v>
      </c>
      <c r="C5" s="499"/>
      <c r="D5" s="82" t="s">
        <v>13</v>
      </c>
      <c r="E5" s="83"/>
      <c r="F5" s="83"/>
      <c r="G5" s="83"/>
      <c r="H5" s="83"/>
      <c r="I5" s="83"/>
      <c r="J5" s="160">
        <f>J11</f>
        <v>0</v>
      </c>
      <c r="K5" s="86"/>
      <c r="L5" s="18"/>
    </row>
    <row r="6" spans="1:18" ht="79.5" customHeight="1" x14ac:dyDescent="0.3">
      <c r="A6" s="18"/>
      <c r="B6" s="434"/>
      <c r="C6" s="499"/>
      <c r="D6" s="19" t="s">
        <v>343</v>
      </c>
      <c r="E6" s="87" t="s">
        <v>14</v>
      </c>
      <c r="F6" s="201">
        <v>200.6</v>
      </c>
      <c r="G6" s="89"/>
      <c r="H6" s="90"/>
      <c r="I6" s="90"/>
      <c r="J6" s="89"/>
      <c r="K6" s="91"/>
      <c r="L6" s="18"/>
    </row>
    <row r="7" spans="1:18" ht="63" customHeight="1" x14ac:dyDescent="0.3">
      <c r="A7" s="18"/>
      <c r="B7" s="434"/>
      <c r="C7" s="499"/>
      <c r="D7" s="95" t="s">
        <v>228</v>
      </c>
      <c r="E7" s="20" t="s">
        <v>14</v>
      </c>
      <c r="F7" s="202">
        <v>200.6</v>
      </c>
      <c r="G7" s="94"/>
      <c r="H7" s="90"/>
      <c r="I7" s="90"/>
      <c r="J7" s="89"/>
      <c r="K7" s="91"/>
      <c r="L7" s="18"/>
    </row>
    <row r="8" spans="1:18" ht="40.5" customHeight="1" x14ac:dyDescent="0.3">
      <c r="A8" s="21"/>
      <c r="B8" s="434"/>
      <c r="C8" s="499"/>
      <c r="D8" s="95" t="s">
        <v>15</v>
      </c>
      <c r="E8" s="20" t="s">
        <v>14</v>
      </c>
      <c r="F8" s="202">
        <v>0</v>
      </c>
      <c r="G8" s="89"/>
      <c r="H8" s="90"/>
      <c r="I8" s="90"/>
      <c r="J8" s="94"/>
      <c r="K8" s="91"/>
      <c r="L8" s="18"/>
    </row>
    <row r="9" spans="1:18" ht="48" customHeight="1" x14ac:dyDescent="0.3">
      <c r="A9" s="21"/>
      <c r="B9" s="223"/>
      <c r="C9" s="499"/>
      <c r="D9" s="19" t="s">
        <v>282</v>
      </c>
      <c r="E9" s="87" t="s">
        <v>14</v>
      </c>
      <c r="F9" s="97">
        <f>SUM(F7)</f>
        <v>200.6</v>
      </c>
      <c r="G9" s="89"/>
      <c r="H9" s="90"/>
      <c r="I9" s="90"/>
      <c r="J9" s="89"/>
      <c r="K9" s="91"/>
      <c r="L9" s="18"/>
    </row>
    <row r="10" spans="1:18" ht="162" customHeight="1" x14ac:dyDescent="0.3">
      <c r="A10" s="21"/>
      <c r="B10" s="224" t="s">
        <v>329</v>
      </c>
      <c r="C10" s="499"/>
      <c r="D10" s="488" t="s">
        <v>313</v>
      </c>
      <c r="E10" s="488"/>
      <c r="F10" s="488"/>
      <c r="G10" s="488"/>
      <c r="H10" s="488"/>
      <c r="I10" s="488"/>
      <c r="J10" s="488"/>
      <c r="K10" s="23"/>
      <c r="L10" s="18"/>
    </row>
    <row r="11" spans="1:18" ht="129" customHeight="1" x14ac:dyDescent="0.3">
      <c r="A11" s="21"/>
      <c r="B11" s="167"/>
      <c r="C11" s="499"/>
      <c r="D11" s="284" t="s">
        <v>344</v>
      </c>
      <c r="E11" s="285" t="s">
        <v>14</v>
      </c>
      <c r="F11" s="286">
        <f>F9</f>
        <v>200.6</v>
      </c>
      <c r="G11" s="489" t="s">
        <v>315</v>
      </c>
      <c r="H11" s="489"/>
      <c r="I11" s="489"/>
      <c r="J11" s="489"/>
      <c r="K11" s="291"/>
      <c r="L11" s="18"/>
    </row>
    <row r="12" spans="1:18" ht="42.75" customHeight="1" x14ac:dyDescent="0.3">
      <c r="A12" s="21"/>
      <c r="B12" s="226"/>
      <c r="C12" s="499"/>
      <c r="D12" s="19" t="s">
        <v>19</v>
      </c>
      <c r="E12" s="26"/>
      <c r="F12" s="27"/>
      <c r="G12" s="24"/>
      <c r="H12" s="25"/>
      <c r="I12" s="25"/>
      <c r="J12" s="98">
        <f>J13+J14+J15</f>
        <v>101000</v>
      </c>
      <c r="K12" s="23"/>
      <c r="L12" s="18"/>
    </row>
    <row r="13" spans="1:18" ht="47.25" customHeight="1" x14ac:dyDescent="0.3">
      <c r="A13" s="21"/>
      <c r="B13" s="66" t="s">
        <v>17</v>
      </c>
      <c r="C13" s="499"/>
      <c r="D13" s="19" t="s">
        <v>316</v>
      </c>
      <c r="E13" s="26"/>
      <c r="F13" s="27"/>
      <c r="G13" s="24"/>
      <c r="H13" s="25"/>
      <c r="I13" s="25"/>
      <c r="J13" s="98">
        <v>0</v>
      </c>
      <c r="K13" s="23"/>
      <c r="L13" s="18"/>
    </row>
    <row r="14" spans="1:18" ht="105" customHeight="1" x14ac:dyDescent="0.3">
      <c r="A14" s="21"/>
      <c r="B14" s="266" t="s">
        <v>18</v>
      </c>
      <c r="C14" s="499"/>
      <c r="D14" s="179" t="s">
        <v>22</v>
      </c>
      <c r="E14" s="171"/>
      <c r="F14" s="169"/>
      <c r="G14" s="169"/>
      <c r="H14" s="171"/>
      <c r="I14" s="171"/>
      <c r="J14" s="180">
        <v>0</v>
      </c>
      <c r="K14" s="174"/>
      <c r="L14" s="174"/>
    </row>
    <row r="15" spans="1:18" ht="50.25" customHeight="1" x14ac:dyDescent="0.3">
      <c r="A15" s="21"/>
      <c r="B15" s="167"/>
      <c r="C15" s="499"/>
      <c r="D15" s="19" t="s">
        <v>345</v>
      </c>
      <c r="E15" s="171"/>
      <c r="F15" s="169"/>
      <c r="G15" s="169"/>
      <c r="H15" s="171"/>
      <c r="I15" s="171"/>
      <c r="J15" s="98">
        <f>SUM(J17:J18)</f>
        <v>101000</v>
      </c>
      <c r="K15" s="174"/>
      <c r="L15" s="181"/>
    </row>
    <row r="16" spans="1:18" ht="162.75" customHeight="1" x14ac:dyDescent="0.3">
      <c r="A16" s="21"/>
      <c r="B16" s="266"/>
      <c r="C16" s="499"/>
      <c r="D16" s="398" t="s">
        <v>36</v>
      </c>
      <c r="E16" s="399"/>
      <c r="F16" s="399"/>
      <c r="G16" s="399"/>
      <c r="H16" s="399"/>
      <c r="I16" s="399"/>
      <c r="J16" s="400"/>
      <c r="K16" s="23"/>
      <c r="L16" s="18"/>
      <c r="R16" s="99" t="s">
        <v>125</v>
      </c>
    </row>
    <row r="17" spans="1:13" ht="57" customHeight="1" x14ac:dyDescent="0.3">
      <c r="A17" s="21"/>
      <c r="B17" s="167"/>
      <c r="C17" s="499"/>
      <c r="D17" s="57" t="s">
        <v>346</v>
      </c>
      <c r="E17" s="20" t="s">
        <v>24</v>
      </c>
      <c r="F17" s="35">
        <v>1</v>
      </c>
      <c r="G17" s="113">
        <v>48000</v>
      </c>
      <c r="H17" s="25">
        <v>1</v>
      </c>
      <c r="I17" s="25"/>
      <c r="J17" s="24">
        <f>ROUND((F17*G17*H17),0)</f>
        <v>48000</v>
      </c>
      <c r="K17" s="67"/>
      <c r="L17" s="67"/>
    </row>
    <row r="18" spans="1:13" ht="56.25" x14ac:dyDescent="0.3">
      <c r="A18" s="21"/>
      <c r="B18" s="266"/>
      <c r="C18" s="499"/>
      <c r="D18" s="57" t="s">
        <v>347</v>
      </c>
      <c r="E18" s="20" t="s">
        <v>24</v>
      </c>
      <c r="F18" s="35">
        <v>1</v>
      </c>
      <c r="G18" s="113">
        <v>53000</v>
      </c>
      <c r="H18" s="25">
        <v>1</v>
      </c>
      <c r="I18" s="25"/>
      <c r="J18" s="24">
        <f>ROUND((F18*G18*H18),0)</f>
        <v>53000</v>
      </c>
      <c r="K18" s="67"/>
      <c r="L18" s="67"/>
    </row>
    <row r="19" spans="1:13" ht="48" customHeight="1" x14ac:dyDescent="0.3">
      <c r="A19" s="21"/>
      <c r="B19" s="266"/>
      <c r="C19" s="499"/>
      <c r="D19" s="19" t="s">
        <v>25</v>
      </c>
      <c r="E19" s="26"/>
      <c r="F19" s="27"/>
      <c r="G19" s="186"/>
      <c r="H19" s="187"/>
      <c r="I19" s="187"/>
      <c r="J19" s="29">
        <v>0</v>
      </c>
      <c r="K19" s="23"/>
      <c r="L19" s="18"/>
    </row>
    <row r="20" spans="1:13" ht="36" customHeight="1" x14ac:dyDescent="0.3">
      <c r="A20" s="21"/>
      <c r="B20" s="266"/>
      <c r="C20" s="499"/>
      <c r="D20" s="30" t="s">
        <v>318</v>
      </c>
      <c r="E20" s="31"/>
      <c r="F20" s="32"/>
      <c r="G20" s="188"/>
      <c r="H20" s="189"/>
      <c r="I20" s="189"/>
      <c r="J20" s="33">
        <f>SUM(J21:J23)</f>
        <v>0</v>
      </c>
      <c r="K20" s="23"/>
      <c r="L20" s="18"/>
    </row>
    <row r="21" spans="1:13" ht="167.25" customHeight="1" x14ac:dyDescent="0.3">
      <c r="A21" s="21"/>
      <c r="B21" s="266"/>
      <c r="C21" s="499"/>
      <c r="D21" s="68" t="s">
        <v>340</v>
      </c>
      <c r="E21" s="496" t="s">
        <v>319</v>
      </c>
      <c r="F21" s="496"/>
      <c r="G21" s="496"/>
      <c r="H21" s="496"/>
      <c r="I21" s="496"/>
      <c r="J21" s="246">
        <v>0</v>
      </c>
      <c r="K21" s="23"/>
      <c r="L21" s="18"/>
    </row>
    <row r="22" spans="1:13" ht="141.75" customHeight="1" x14ac:dyDescent="0.3">
      <c r="A22" s="21"/>
      <c r="B22" s="266"/>
      <c r="C22" s="499"/>
      <c r="D22" s="68" t="s">
        <v>341</v>
      </c>
      <c r="E22" s="497" t="s">
        <v>320</v>
      </c>
      <c r="F22" s="497"/>
      <c r="G22" s="497"/>
      <c r="H22" s="497"/>
      <c r="I22" s="497"/>
      <c r="J22" s="188">
        <v>0</v>
      </c>
      <c r="K22" s="23"/>
      <c r="L22" s="18"/>
    </row>
    <row r="23" spans="1:13" ht="42" customHeight="1" x14ac:dyDescent="0.3">
      <c r="A23" s="21"/>
      <c r="B23" s="266"/>
      <c r="C23" s="499"/>
      <c r="D23" s="68" t="s">
        <v>321</v>
      </c>
      <c r="E23" s="289"/>
      <c r="F23" s="289"/>
      <c r="G23" s="289"/>
      <c r="H23" s="289"/>
      <c r="I23" s="289"/>
      <c r="J23" s="59">
        <v>0</v>
      </c>
      <c r="K23" s="23"/>
      <c r="L23" s="18"/>
    </row>
    <row r="24" spans="1:13" ht="37.5" x14ac:dyDescent="0.3">
      <c r="A24" s="21"/>
      <c r="B24" s="266"/>
      <c r="C24" s="499"/>
      <c r="D24" s="39" t="s">
        <v>322</v>
      </c>
      <c r="E24" s="40"/>
      <c r="F24" s="41"/>
      <c r="G24" s="42"/>
      <c r="H24" s="43"/>
      <c r="I24" s="43"/>
      <c r="J24" s="44">
        <f>J5+J12+J19+J20</f>
        <v>101000</v>
      </c>
      <c r="K24" s="23"/>
      <c r="L24" s="18"/>
    </row>
    <row r="25" spans="1:13" ht="43.5" customHeight="1" x14ac:dyDescent="0.3">
      <c r="A25" s="21"/>
      <c r="B25" s="266"/>
      <c r="C25" s="499"/>
      <c r="D25" s="19" t="s">
        <v>326</v>
      </c>
      <c r="E25" s="501" t="s">
        <v>348</v>
      </c>
      <c r="F25" s="502"/>
      <c r="G25" s="502"/>
      <c r="H25" s="502"/>
      <c r="I25" s="503"/>
      <c r="J25" s="33">
        <v>0</v>
      </c>
      <c r="K25" s="23"/>
      <c r="L25" s="18"/>
    </row>
    <row r="26" spans="1:13" ht="67.5" customHeight="1" x14ac:dyDescent="0.3">
      <c r="A26" s="21"/>
      <c r="B26" s="266"/>
      <c r="C26" s="499"/>
      <c r="D26" s="39" t="s">
        <v>31</v>
      </c>
      <c r="E26" s="40"/>
      <c r="F26" s="42"/>
      <c r="G26" s="28"/>
      <c r="H26" s="43"/>
      <c r="I26" s="43"/>
      <c r="J26" s="42"/>
      <c r="K26" s="210">
        <f>J24+J25</f>
        <v>101000</v>
      </c>
      <c r="L26" s="18"/>
    </row>
    <row r="27" spans="1:13" ht="48" customHeight="1" x14ac:dyDescent="0.3">
      <c r="A27" s="21"/>
      <c r="B27" s="266"/>
      <c r="C27" s="499"/>
      <c r="D27" s="190" t="s">
        <v>32</v>
      </c>
      <c r="E27" s="50"/>
      <c r="F27" s="51"/>
      <c r="G27" s="52"/>
      <c r="H27" s="52"/>
      <c r="I27" s="52"/>
      <c r="J27" s="52"/>
      <c r="K27" s="52"/>
      <c r="L27" s="18"/>
    </row>
    <row r="28" spans="1:13" ht="408.75" customHeight="1" x14ac:dyDescent="0.3">
      <c r="A28" s="295"/>
      <c r="B28" s="296"/>
      <c r="C28" s="500"/>
      <c r="D28" s="323" t="s">
        <v>33</v>
      </c>
      <c r="E28" s="55"/>
      <c r="F28" s="408" t="s">
        <v>34</v>
      </c>
      <c r="G28" s="408"/>
      <c r="H28" s="408"/>
      <c r="I28" s="408"/>
      <c r="J28" s="408"/>
      <c r="K28" s="56"/>
      <c r="L28" s="18"/>
    </row>
    <row r="29" spans="1:13" ht="18.75" x14ac:dyDescent="0.25">
      <c r="C29" s="191"/>
    </row>
    <row r="30" spans="1:13" ht="18.75" x14ac:dyDescent="0.25">
      <c r="C30" s="191"/>
      <c r="M30" s="182"/>
    </row>
    <row r="31" spans="1:13" ht="18.75" x14ac:dyDescent="0.25">
      <c r="C31" s="191"/>
    </row>
    <row r="32" spans="1:13" ht="18.75" x14ac:dyDescent="0.25">
      <c r="C32" s="191"/>
    </row>
    <row r="33" spans="3:13" ht="18.75" x14ac:dyDescent="0.25">
      <c r="C33" s="191"/>
      <c r="M33" s="182"/>
    </row>
    <row r="34" spans="3:13" ht="18.75" x14ac:dyDescent="0.25">
      <c r="C34" s="191"/>
      <c r="M34" s="182"/>
    </row>
    <row r="35" spans="3:13" ht="18.75" x14ac:dyDescent="0.25">
      <c r="C35" s="191"/>
    </row>
    <row r="36" spans="3:13" ht="18.75" x14ac:dyDescent="0.25">
      <c r="C36" s="191"/>
    </row>
    <row r="37" spans="3:13" ht="18.75" x14ac:dyDescent="0.25">
      <c r="C37" s="191"/>
    </row>
    <row r="38" spans="3:13" ht="18.75" x14ac:dyDescent="0.25">
      <c r="C38" s="191"/>
    </row>
    <row r="39" spans="3:13" ht="18.75" x14ac:dyDescent="0.25">
      <c r="C39" s="191"/>
    </row>
    <row r="40" spans="3:13" ht="18.75" x14ac:dyDescent="0.25">
      <c r="C40" s="191"/>
    </row>
    <row r="41" spans="3:13" ht="18.75" x14ac:dyDescent="0.25">
      <c r="C41" s="191"/>
    </row>
    <row r="42" spans="3:13" ht="18.75" x14ac:dyDescent="0.25">
      <c r="C42" s="191"/>
    </row>
    <row r="43" spans="3:13" ht="18.75" x14ac:dyDescent="0.25">
      <c r="C43" s="191"/>
    </row>
    <row r="44" spans="3:13" ht="18.75" x14ac:dyDescent="0.25">
      <c r="C44" s="191"/>
    </row>
    <row r="45" spans="3:13" ht="18.75" x14ac:dyDescent="0.25">
      <c r="C45" s="191"/>
    </row>
    <row r="46" spans="3:13" ht="18.75" x14ac:dyDescent="0.25">
      <c r="C46" s="191"/>
    </row>
    <row r="47" spans="3:13" ht="18.75" x14ac:dyDescent="0.25">
      <c r="C47" s="191"/>
    </row>
    <row r="48" spans="3:13" ht="18.75" x14ac:dyDescent="0.25">
      <c r="C48" s="191"/>
    </row>
    <row r="49" spans="3:3" ht="18.75" x14ac:dyDescent="0.25">
      <c r="C49" s="191"/>
    </row>
    <row r="50" spans="3:3" ht="18.75" x14ac:dyDescent="0.25">
      <c r="C50" s="191"/>
    </row>
  </sheetData>
  <mergeCells count="9">
    <mergeCell ref="C4:C28"/>
    <mergeCell ref="B5:B8"/>
    <mergeCell ref="D10:J10"/>
    <mergeCell ref="G11:J11"/>
    <mergeCell ref="D16:J16"/>
    <mergeCell ref="E21:I21"/>
    <mergeCell ref="E22:I22"/>
    <mergeCell ref="E25:I25"/>
    <mergeCell ref="F28:J28"/>
  </mergeCells>
  <pageMargins left="0.7" right="0.7" top="0.75" bottom="0.75" header="0.3" footer="0.3"/>
  <pageSetup paperSize="9" scale="55" fitToHeight="0" orientation="landscape" verticalDpi="0" r:id="rId1"/>
  <headerFooter>
    <oddFooter>&amp;C&amp;A/&amp;P-&amp;N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topLeftCell="A4" zoomScale="70" zoomScaleNormal="70" workbookViewId="0">
      <selection activeCell="C4" sqref="C4:C28"/>
    </sheetView>
  </sheetViews>
  <sheetFormatPr defaultColWidth="9" defaultRowHeight="15" x14ac:dyDescent="0.25"/>
  <cols>
    <col min="1" max="1" width="4.85546875" style="99" customWidth="1"/>
    <col min="2" max="2" width="24.7109375" style="99" customWidth="1"/>
    <col min="3" max="3" width="66.28515625" style="99" customWidth="1"/>
    <col min="4" max="4" width="55.5703125" style="99" customWidth="1"/>
    <col min="5" max="5" width="8.5703125" style="99" customWidth="1"/>
    <col min="6" max="6" width="9.42578125" style="99" customWidth="1"/>
    <col min="7" max="7" width="11.140625" style="99" customWidth="1"/>
    <col min="8" max="8" width="7.42578125" style="99" customWidth="1"/>
    <col min="9" max="9" width="11" style="99" customWidth="1"/>
    <col min="10" max="10" width="17.42578125" style="99" customWidth="1"/>
    <col min="11" max="11" width="15.5703125"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60.75" customHeight="1"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61.5" customHeight="1" x14ac:dyDescent="0.3">
      <c r="A4" s="15">
        <v>17</v>
      </c>
      <c r="B4" s="103" t="s">
        <v>363</v>
      </c>
      <c r="C4" s="498" t="s">
        <v>487</v>
      </c>
      <c r="D4" s="78"/>
      <c r="E4" s="79"/>
      <c r="F4" s="79"/>
      <c r="G4" s="79"/>
      <c r="H4" s="79"/>
      <c r="I4" s="79"/>
      <c r="J4" s="80"/>
      <c r="K4" s="81"/>
      <c r="L4" s="17"/>
    </row>
    <row r="5" spans="1:18" ht="47.25" customHeight="1" x14ac:dyDescent="0.3">
      <c r="A5" s="18"/>
      <c r="B5" s="433" t="s">
        <v>327</v>
      </c>
      <c r="C5" s="499"/>
      <c r="D5" s="82" t="s">
        <v>13</v>
      </c>
      <c r="E5" s="83"/>
      <c r="F5" s="83"/>
      <c r="G5" s="83"/>
      <c r="H5" s="83"/>
      <c r="I5" s="83"/>
      <c r="J5" s="160">
        <f>J11</f>
        <v>0</v>
      </c>
      <c r="K5" s="86"/>
      <c r="L5" s="18"/>
    </row>
    <row r="6" spans="1:18" ht="60.75" customHeight="1" x14ac:dyDescent="0.3">
      <c r="A6" s="18"/>
      <c r="B6" s="434"/>
      <c r="C6" s="499"/>
      <c r="D6" s="19" t="s">
        <v>349</v>
      </c>
      <c r="E6" s="87" t="s">
        <v>14</v>
      </c>
      <c r="F6" s="97">
        <v>900</v>
      </c>
      <c r="G6" s="89"/>
      <c r="H6" s="90"/>
      <c r="I6" s="90"/>
      <c r="J6" s="89"/>
      <c r="K6" s="91"/>
      <c r="L6" s="18"/>
    </row>
    <row r="7" spans="1:18" ht="60.75" customHeight="1" x14ac:dyDescent="0.3">
      <c r="A7" s="18"/>
      <c r="B7" s="434"/>
      <c r="C7" s="499"/>
      <c r="D7" s="95" t="s">
        <v>228</v>
      </c>
      <c r="E7" s="20" t="s">
        <v>14</v>
      </c>
      <c r="F7" s="222">
        <v>900</v>
      </c>
      <c r="G7" s="94"/>
      <c r="H7" s="90"/>
      <c r="I7" s="90"/>
      <c r="J7" s="89"/>
      <c r="K7" s="91"/>
      <c r="L7" s="18"/>
    </row>
    <row r="8" spans="1:18" ht="60.75" customHeight="1" x14ac:dyDescent="0.3">
      <c r="A8" s="21"/>
      <c r="B8" s="434"/>
      <c r="C8" s="499"/>
      <c r="D8" s="95" t="s">
        <v>15</v>
      </c>
      <c r="E8" s="20" t="s">
        <v>14</v>
      </c>
      <c r="F8" s="222">
        <v>0</v>
      </c>
      <c r="G8" s="89"/>
      <c r="H8" s="90"/>
      <c r="I8" s="90"/>
      <c r="J8" s="94"/>
      <c r="K8" s="91"/>
      <c r="L8" s="18"/>
    </row>
    <row r="9" spans="1:18" ht="60.75" customHeight="1" x14ac:dyDescent="0.3">
      <c r="A9" s="21"/>
      <c r="B9" s="223"/>
      <c r="C9" s="499"/>
      <c r="D9" s="19" t="s">
        <v>282</v>
      </c>
      <c r="E9" s="87" t="s">
        <v>14</v>
      </c>
      <c r="F9" s="97">
        <f>SUM(F7)</f>
        <v>900</v>
      </c>
      <c r="G9" s="89"/>
      <c r="H9" s="90"/>
      <c r="I9" s="90"/>
      <c r="J9" s="89"/>
      <c r="K9" s="91"/>
      <c r="L9" s="18"/>
    </row>
    <row r="10" spans="1:18" ht="153" customHeight="1" x14ac:dyDescent="0.3">
      <c r="A10" s="21"/>
      <c r="B10" s="224" t="s">
        <v>329</v>
      </c>
      <c r="C10" s="499"/>
      <c r="D10" s="488" t="s">
        <v>313</v>
      </c>
      <c r="E10" s="488"/>
      <c r="F10" s="488"/>
      <c r="G10" s="488"/>
      <c r="H10" s="488"/>
      <c r="I10" s="488"/>
      <c r="J10" s="488"/>
      <c r="K10" s="23"/>
      <c r="L10" s="18"/>
    </row>
    <row r="11" spans="1:18" ht="117.75" customHeight="1" x14ac:dyDescent="0.3">
      <c r="A11" s="21"/>
      <c r="B11" s="66" t="s">
        <v>17</v>
      </c>
      <c r="C11" s="499"/>
      <c r="D11" s="284" t="s">
        <v>350</v>
      </c>
      <c r="E11" s="285" t="s">
        <v>14</v>
      </c>
      <c r="F11" s="286">
        <f>F9</f>
        <v>900</v>
      </c>
      <c r="G11" s="489" t="s">
        <v>315</v>
      </c>
      <c r="H11" s="489"/>
      <c r="I11" s="489"/>
      <c r="J11" s="489"/>
      <c r="K11" s="297"/>
      <c r="L11" s="18"/>
    </row>
    <row r="12" spans="1:18" ht="97.5" customHeight="1" x14ac:dyDescent="0.3">
      <c r="A12" s="21"/>
      <c r="B12" s="266" t="s">
        <v>18</v>
      </c>
      <c r="C12" s="499"/>
      <c r="D12" s="19" t="s">
        <v>19</v>
      </c>
      <c r="E12" s="26"/>
      <c r="F12" s="27"/>
      <c r="G12" s="24"/>
      <c r="H12" s="25"/>
      <c r="I12" s="25"/>
      <c r="J12" s="98">
        <f>J13+J14+J15</f>
        <v>414000</v>
      </c>
      <c r="K12" s="23"/>
      <c r="L12" s="18"/>
    </row>
    <row r="13" spans="1:18" ht="47.25" customHeight="1" x14ac:dyDescent="0.3">
      <c r="A13" s="21"/>
      <c r="C13" s="499"/>
      <c r="D13" s="19" t="s">
        <v>316</v>
      </c>
      <c r="E13" s="26"/>
      <c r="F13" s="27"/>
      <c r="G13" s="24"/>
      <c r="H13" s="25"/>
      <c r="I13" s="25"/>
      <c r="J13" s="98">
        <v>0</v>
      </c>
      <c r="K13" s="23"/>
      <c r="L13" s="18"/>
    </row>
    <row r="14" spans="1:18" ht="60" customHeight="1" x14ac:dyDescent="0.3">
      <c r="A14" s="21"/>
      <c r="C14" s="499"/>
      <c r="D14" s="179" t="s">
        <v>22</v>
      </c>
      <c r="E14" s="171"/>
      <c r="F14" s="169"/>
      <c r="G14" s="169"/>
      <c r="H14" s="171"/>
      <c r="I14" s="171"/>
      <c r="J14" s="180">
        <v>0</v>
      </c>
      <c r="K14" s="174"/>
      <c r="L14" s="174"/>
    </row>
    <row r="15" spans="1:18" ht="49.5" customHeight="1" x14ac:dyDescent="0.3">
      <c r="A15" s="21"/>
      <c r="C15" s="499"/>
      <c r="D15" s="19" t="s">
        <v>23</v>
      </c>
      <c r="E15" s="171"/>
      <c r="F15" s="169"/>
      <c r="G15" s="169"/>
      <c r="H15" s="171"/>
      <c r="I15" s="171"/>
      <c r="J15" s="98">
        <f>SUM(J17:J18)</f>
        <v>414000</v>
      </c>
      <c r="K15" s="174"/>
      <c r="L15" s="181"/>
    </row>
    <row r="16" spans="1:18" ht="157.5" customHeight="1" x14ac:dyDescent="0.3">
      <c r="A16" s="21"/>
      <c r="B16" s="266"/>
      <c r="C16" s="499"/>
      <c r="D16" s="398" t="s">
        <v>36</v>
      </c>
      <c r="E16" s="399"/>
      <c r="F16" s="399"/>
      <c r="G16" s="399"/>
      <c r="H16" s="399"/>
      <c r="I16" s="399"/>
      <c r="J16" s="400"/>
      <c r="K16" s="23"/>
      <c r="L16" s="18"/>
      <c r="R16" s="99" t="s">
        <v>125</v>
      </c>
    </row>
    <row r="17" spans="1:13" ht="58.5" customHeight="1" x14ac:dyDescent="0.3">
      <c r="A17" s="21"/>
      <c r="C17" s="499"/>
      <c r="D17" s="57" t="s">
        <v>351</v>
      </c>
      <c r="E17" s="20" t="s">
        <v>24</v>
      </c>
      <c r="F17" s="35">
        <v>6</v>
      </c>
      <c r="G17" s="113">
        <v>53000</v>
      </c>
      <c r="H17" s="25">
        <v>1</v>
      </c>
      <c r="I17" s="25"/>
      <c r="J17" s="24">
        <f>ROUND((F17*G17*H17),0)</f>
        <v>318000</v>
      </c>
      <c r="K17" s="67"/>
      <c r="L17" s="67"/>
    </row>
    <row r="18" spans="1:13" ht="60" customHeight="1" x14ac:dyDescent="0.3">
      <c r="A18" s="21"/>
      <c r="B18" s="266"/>
      <c r="C18" s="499"/>
      <c r="D18" s="57" t="s">
        <v>352</v>
      </c>
      <c r="E18" s="20" t="s">
        <v>24</v>
      </c>
      <c r="F18" s="35">
        <v>2</v>
      </c>
      <c r="G18" s="113">
        <v>48000</v>
      </c>
      <c r="H18" s="25">
        <v>1</v>
      </c>
      <c r="I18" s="25"/>
      <c r="J18" s="24">
        <f>ROUND((F18*G18*H18),0)</f>
        <v>96000</v>
      </c>
      <c r="K18" s="67"/>
      <c r="L18" s="67"/>
    </row>
    <row r="19" spans="1:13" ht="55.5" customHeight="1" x14ac:dyDescent="0.3">
      <c r="A19" s="21"/>
      <c r="B19" s="266"/>
      <c r="C19" s="499"/>
      <c r="D19" s="19" t="s">
        <v>25</v>
      </c>
      <c r="E19" s="26"/>
      <c r="F19" s="27"/>
      <c r="G19" s="186"/>
      <c r="H19" s="187"/>
      <c r="I19" s="187"/>
      <c r="J19" s="29">
        <v>0</v>
      </c>
      <c r="K19" s="23"/>
      <c r="L19" s="18"/>
    </row>
    <row r="20" spans="1:13" ht="51.75" customHeight="1" x14ac:dyDescent="0.3">
      <c r="A20" s="21"/>
      <c r="B20" s="266"/>
      <c r="C20" s="499"/>
      <c r="D20" s="30" t="s">
        <v>318</v>
      </c>
      <c r="E20" s="31"/>
      <c r="F20" s="32"/>
      <c r="G20" s="188"/>
      <c r="H20" s="189"/>
      <c r="I20" s="189"/>
      <c r="J20" s="33">
        <f>SUM(J21:J23)</f>
        <v>0</v>
      </c>
      <c r="K20" s="23"/>
      <c r="L20" s="18"/>
    </row>
    <row r="21" spans="1:13" ht="161.25" customHeight="1" x14ac:dyDescent="0.3">
      <c r="A21" s="21"/>
      <c r="B21" s="266"/>
      <c r="C21" s="499"/>
      <c r="D21" s="68" t="s">
        <v>340</v>
      </c>
      <c r="E21" s="496" t="s">
        <v>319</v>
      </c>
      <c r="F21" s="496"/>
      <c r="G21" s="496"/>
      <c r="H21" s="496"/>
      <c r="I21" s="496"/>
      <c r="J21" s="246">
        <v>0</v>
      </c>
      <c r="K21" s="23"/>
      <c r="L21" s="18"/>
    </row>
    <row r="22" spans="1:13" ht="181.5" customHeight="1" x14ac:dyDescent="0.3">
      <c r="A22" s="21"/>
      <c r="B22" s="266"/>
      <c r="C22" s="499"/>
      <c r="D22" s="68" t="s">
        <v>341</v>
      </c>
      <c r="E22" s="497" t="s">
        <v>320</v>
      </c>
      <c r="F22" s="497"/>
      <c r="G22" s="497"/>
      <c r="H22" s="497"/>
      <c r="I22" s="497"/>
      <c r="J22" s="188">
        <v>0</v>
      </c>
      <c r="K22" s="23"/>
      <c r="L22" s="18"/>
    </row>
    <row r="23" spans="1:13" ht="51" customHeight="1" x14ac:dyDescent="0.3">
      <c r="A23" s="21"/>
      <c r="B23" s="266"/>
      <c r="C23" s="499"/>
      <c r="D23" s="68" t="s">
        <v>321</v>
      </c>
      <c r="E23" s="289"/>
      <c r="F23" s="289"/>
      <c r="G23" s="289"/>
      <c r="H23" s="289"/>
      <c r="I23" s="289"/>
      <c r="J23" s="59">
        <v>0</v>
      </c>
      <c r="K23" s="23"/>
      <c r="L23" s="18"/>
    </row>
    <row r="24" spans="1:13" ht="49.5" customHeight="1" x14ac:dyDescent="0.3">
      <c r="A24" s="21"/>
      <c r="B24" s="266"/>
      <c r="C24" s="499"/>
      <c r="D24" s="39" t="s">
        <v>322</v>
      </c>
      <c r="E24" s="40"/>
      <c r="F24" s="41"/>
      <c r="G24" s="42"/>
      <c r="H24" s="43"/>
      <c r="I24" s="43"/>
      <c r="J24" s="44">
        <f>J5+J12+J19+J20</f>
        <v>414000</v>
      </c>
      <c r="K24" s="23"/>
      <c r="L24" s="18"/>
    </row>
    <row r="25" spans="1:13" ht="40.5" customHeight="1" x14ac:dyDescent="0.3">
      <c r="A25" s="21"/>
      <c r="B25" s="266"/>
      <c r="C25" s="499"/>
      <c r="D25" s="19" t="s">
        <v>326</v>
      </c>
      <c r="E25" s="501" t="s">
        <v>348</v>
      </c>
      <c r="F25" s="502"/>
      <c r="G25" s="502"/>
      <c r="H25" s="502"/>
      <c r="I25" s="503"/>
      <c r="J25" s="33">
        <v>0</v>
      </c>
      <c r="K25" s="23"/>
      <c r="L25" s="18"/>
    </row>
    <row r="26" spans="1:13" ht="63" customHeight="1" x14ac:dyDescent="0.3">
      <c r="A26" s="21"/>
      <c r="B26" s="266"/>
      <c r="C26" s="499"/>
      <c r="D26" s="39" t="s">
        <v>31</v>
      </c>
      <c r="E26" s="40"/>
      <c r="F26" s="42"/>
      <c r="G26" s="28"/>
      <c r="H26" s="43"/>
      <c r="I26" s="43"/>
      <c r="J26" s="42"/>
      <c r="K26" s="210">
        <f>J24+J25</f>
        <v>414000</v>
      </c>
      <c r="L26" s="18"/>
    </row>
    <row r="27" spans="1:13" ht="41.25" customHeight="1" x14ac:dyDescent="0.3">
      <c r="A27" s="21"/>
      <c r="B27" s="266"/>
      <c r="C27" s="499"/>
      <c r="D27" s="190" t="s">
        <v>32</v>
      </c>
      <c r="E27" s="50"/>
      <c r="F27" s="51"/>
      <c r="G27" s="52"/>
      <c r="H27" s="52"/>
      <c r="I27" s="52"/>
      <c r="J27" s="52"/>
      <c r="K27" s="52"/>
      <c r="L27" s="18"/>
    </row>
    <row r="28" spans="1:13" ht="346.5" customHeight="1" x14ac:dyDescent="0.3">
      <c r="A28" s="53"/>
      <c r="B28" s="53"/>
      <c r="C28" s="500"/>
      <c r="D28" s="323" t="s">
        <v>33</v>
      </c>
      <c r="E28" s="55"/>
      <c r="F28" s="408" t="s">
        <v>34</v>
      </c>
      <c r="G28" s="408"/>
      <c r="H28" s="408"/>
      <c r="I28" s="408"/>
      <c r="J28" s="408"/>
      <c r="K28" s="56"/>
      <c r="L28" s="53"/>
    </row>
    <row r="29" spans="1:13" ht="18.75" x14ac:dyDescent="0.25">
      <c r="C29" s="191"/>
    </row>
    <row r="30" spans="1:13" ht="18.75" x14ac:dyDescent="0.25">
      <c r="C30" s="191"/>
      <c r="M30" s="182"/>
    </row>
    <row r="31" spans="1:13" ht="18.75" x14ac:dyDescent="0.25">
      <c r="C31" s="191"/>
    </row>
    <row r="32" spans="1:13" ht="18.75" x14ac:dyDescent="0.25">
      <c r="C32" s="191"/>
    </row>
    <row r="33" spans="3:13" ht="18.75" x14ac:dyDescent="0.25">
      <c r="C33" s="191"/>
      <c r="M33" s="182"/>
    </row>
    <row r="34" spans="3:13" ht="18.75" x14ac:dyDescent="0.25">
      <c r="C34" s="191"/>
      <c r="M34" s="182"/>
    </row>
    <row r="35" spans="3:13" ht="18.75" x14ac:dyDescent="0.25">
      <c r="C35" s="191"/>
    </row>
    <row r="36" spans="3:13" ht="18.75" x14ac:dyDescent="0.25">
      <c r="C36" s="191"/>
    </row>
    <row r="37" spans="3:13" ht="18.75" x14ac:dyDescent="0.25">
      <c r="C37" s="191"/>
    </row>
    <row r="38" spans="3:13" ht="18.75" x14ac:dyDescent="0.25">
      <c r="C38" s="191"/>
    </row>
    <row r="39" spans="3:13" ht="18.75" x14ac:dyDescent="0.25">
      <c r="C39" s="191"/>
    </row>
    <row r="40" spans="3:13" ht="18.75" x14ac:dyDescent="0.25">
      <c r="C40" s="191"/>
    </row>
    <row r="41" spans="3:13" ht="18.75" x14ac:dyDescent="0.25">
      <c r="C41" s="191"/>
    </row>
    <row r="42" spans="3:13" ht="18.75" x14ac:dyDescent="0.25">
      <c r="C42" s="191"/>
    </row>
    <row r="43" spans="3:13" ht="18.75" x14ac:dyDescent="0.25">
      <c r="C43" s="191"/>
    </row>
    <row r="44" spans="3:13" ht="18.75" x14ac:dyDescent="0.25">
      <c r="C44" s="191"/>
    </row>
    <row r="45" spans="3:13" ht="18.75" x14ac:dyDescent="0.25">
      <c r="C45" s="191"/>
    </row>
    <row r="46" spans="3:13" ht="18.75" x14ac:dyDescent="0.25">
      <c r="C46" s="191"/>
    </row>
    <row r="47" spans="3:13" ht="18.75" x14ac:dyDescent="0.25">
      <c r="C47" s="191"/>
    </row>
    <row r="48" spans="3:13" ht="18.75" x14ac:dyDescent="0.25">
      <c r="C48" s="191"/>
    </row>
    <row r="49" spans="3:3" ht="18.75" x14ac:dyDescent="0.25">
      <c r="C49" s="191"/>
    </row>
    <row r="50" spans="3:3" ht="18.75" x14ac:dyDescent="0.25">
      <c r="C50" s="191"/>
    </row>
  </sheetData>
  <mergeCells count="9">
    <mergeCell ref="C4:C28"/>
    <mergeCell ref="B5:B8"/>
    <mergeCell ref="D10:J10"/>
    <mergeCell ref="G11:J11"/>
    <mergeCell ref="D16:J16"/>
    <mergeCell ref="E21:I21"/>
    <mergeCell ref="E22:I22"/>
    <mergeCell ref="E25:I25"/>
    <mergeCell ref="F28:J28"/>
  </mergeCells>
  <pageMargins left="0.7" right="0.7" top="0.75" bottom="0.75" header="0.3" footer="0.3"/>
  <pageSetup paperSize="9" scale="54" fitToHeight="0" orientation="landscape" verticalDpi="0" r:id="rId1"/>
  <headerFooter>
    <oddFooter>&amp;C&amp;A/&amp;P-&amp;N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topLeftCell="A4" zoomScale="70" zoomScaleNormal="70" workbookViewId="0">
      <selection activeCell="C4" sqref="C4:C28"/>
    </sheetView>
  </sheetViews>
  <sheetFormatPr defaultColWidth="9" defaultRowHeight="15" x14ac:dyDescent="0.25"/>
  <cols>
    <col min="1" max="1" width="4.85546875" style="99" customWidth="1"/>
    <col min="2" max="2" width="24.7109375" style="99" customWidth="1"/>
    <col min="3" max="3" width="69.140625" style="99" customWidth="1"/>
    <col min="4" max="4" width="55.5703125" style="99" customWidth="1"/>
    <col min="5" max="5" width="8.5703125" style="99" customWidth="1"/>
    <col min="6" max="6" width="9.42578125" style="99" customWidth="1"/>
    <col min="7" max="7" width="11.140625" style="99" customWidth="1"/>
    <col min="8" max="8" width="7.42578125" style="99" customWidth="1"/>
    <col min="9" max="9" width="11" style="99" customWidth="1"/>
    <col min="10" max="10" width="17.42578125" style="99" customWidth="1"/>
    <col min="11" max="11" width="15.5703125"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60.75" customHeight="1"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48" customHeight="1" x14ac:dyDescent="0.3">
      <c r="A4" s="15">
        <v>18</v>
      </c>
      <c r="B4" s="103" t="s">
        <v>363</v>
      </c>
      <c r="C4" s="498" t="s">
        <v>488</v>
      </c>
      <c r="D4" s="78"/>
      <c r="E4" s="79"/>
      <c r="F4" s="79"/>
      <c r="G4" s="79"/>
      <c r="H4" s="79"/>
      <c r="I4" s="79"/>
      <c r="J4" s="80"/>
      <c r="K4" s="81"/>
      <c r="L4" s="17"/>
    </row>
    <row r="5" spans="1:18" ht="48" customHeight="1" x14ac:dyDescent="0.3">
      <c r="A5" s="18"/>
      <c r="B5" s="433" t="s">
        <v>327</v>
      </c>
      <c r="C5" s="499"/>
      <c r="D5" s="82" t="s">
        <v>13</v>
      </c>
      <c r="E5" s="83"/>
      <c r="F5" s="83"/>
      <c r="G5" s="83"/>
      <c r="H5" s="83"/>
      <c r="I5" s="83"/>
      <c r="J5" s="160">
        <f>J11</f>
        <v>0</v>
      </c>
      <c r="K5" s="86"/>
      <c r="L5" s="18"/>
    </row>
    <row r="6" spans="1:18" ht="48" customHeight="1" x14ac:dyDescent="0.3">
      <c r="A6" s="18"/>
      <c r="B6" s="434"/>
      <c r="C6" s="499"/>
      <c r="D6" s="19" t="s">
        <v>353</v>
      </c>
      <c r="E6" s="87" t="s">
        <v>14</v>
      </c>
      <c r="F6" s="201">
        <v>300.39999999999998</v>
      </c>
      <c r="G6" s="89"/>
      <c r="H6" s="90"/>
      <c r="I6" s="90"/>
      <c r="J6" s="89"/>
      <c r="K6" s="91"/>
      <c r="L6" s="18"/>
    </row>
    <row r="7" spans="1:18" ht="48" customHeight="1" x14ac:dyDescent="0.3">
      <c r="A7" s="18"/>
      <c r="B7" s="434"/>
      <c r="C7" s="499"/>
      <c r="D7" s="95" t="s">
        <v>228</v>
      </c>
      <c r="E7" s="20" t="s">
        <v>14</v>
      </c>
      <c r="F7" s="202">
        <v>300.39999999999998</v>
      </c>
      <c r="G7" s="94"/>
      <c r="H7" s="90"/>
      <c r="I7" s="90"/>
      <c r="J7" s="89"/>
      <c r="K7" s="91"/>
      <c r="L7" s="18"/>
    </row>
    <row r="8" spans="1:18" ht="48" customHeight="1" x14ac:dyDescent="0.3">
      <c r="A8" s="21"/>
      <c r="B8" s="434"/>
      <c r="C8" s="499"/>
      <c r="D8" s="95" t="s">
        <v>15</v>
      </c>
      <c r="E8" s="20" t="s">
        <v>14</v>
      </c>
      <c r="F8" s="202">
        <v>0</v>
      </c>
      <c r="G8" s="89"/>
      <c r="H8" s="90"/>
      <c r="I8" s="90"/>
      <c r="J8" s="94"/>
      <c r="K8" s="91"/>
      <c r="L8" s="18"/>
    </row>
    <row r="9" spans="1:18" ht="48" customHeight="1" x14ac:dyDescent="0.3">
      <c r="A9" s="21"/>
      <c r="B9" s="298" t="s">
        <v>354</v>
      </c>
      <c r="C9" s="499"/>
      <c r="D9" s="19" t="s">
        <v>282</v>
      </c>
      <c r="E9" s="87" t="s">
        <v>14</v>
      </c>
      <c r="F9" s="97">
        <f>SUM(F7)</f>
        <v>300.39999999999998</v>
      </c>
      <c r="G9" s="89"/>
      <c r="H9" s="90"/>
      <c r="I9" s="90"/>
      <c r="J9" s="89"/>
      <c r="K9" s="91"/>
      <c r="L9" s="18"/>
    </row>
    <row r="10" spans="1:18" ht="181.5" customHeight="1" x14ac:dyDescent="0.3">
      <c r="A10" s="21"/>
      <c r="B10" s="164" t="s">
        <v>355</v>
      </c>
      <c r="C10" s="499"/>
      <c r="D10" s="488" t="s">
        <v>313</v>
      </c>
      <c r="E10" s="488"/>
      <c r="F10" s="488"/>
      <c r="G10" s="488"/>
      <c r="H10" s="488"/>
      <c r="I10" s="488"/>
      <c r="J10" s="488"/>
      <c r="K10" s="23"/>
      <c r="L10" s="18"/>
    </row>
    <row r="11" spans="1:18" ht="125.25" customHeight="1" x14ac:dyDescent="0.3">
      <c r="A11" s="21"/>
      <c r="B11" s="66" t="s">
        <v>17</v>
      </c>
      <c r="C11" s="499"/>
      <c r="D11" s="284" t="s">
        <v>356</v>
      </c>
      <c r="E11" s="285" t="s">
        <v>14</v>
      </c>
      <c r="F11" s="286">
        <f>F9</f>
        <v>300.39999999999998</v>
      </c>
      <c r="G11" s="489" t="s">
        <v>315</v>
      </c>
      <c r="H11" s="489"/>
      <c r="I11" s="489"/>
      <c r="J11" s="489"/>
      <c r="K11" s="299"/>
      <c r="L11" s="18"/>
    </row>
    <row r="12" spans="1:18" ht="75" customHeight="1" x14ac:dyDescent="0.3">
      <c r="A12" s="21"/>
      <c r="B12" s="266" t="s">
        <v>18</v>
      </c>
      <c r="C12" s="499"/>
      <c r="D12" s="19" t="s">
        <v>19</v>
      </c>
      <c r="E12" s="26"/>
      <c r="F12" s="27"/>
      <c r="G12" s="24"/>
      <c r="H12" s="25"/>
      <c r="I12" s="25"/>
      <c r="J12" s="98">
        <f>J13+J14+J15</f>
        <v>1204000</v>
      </c>
      <c r="K12" s="23"/>
      <c r="L12" s="18"/>
    </row>
    <row r="13" spans="1:18" ht="51.75" customHeight="1" x14ac:dyDescent="0.3">
      <c r="A13" s="21"/>
      <c r="B13" s="283"/>
      <c r="C13" s="499"/>
      <c r="D13" s="19" t="s">
        <v>316</v>
      </c>
      <c r="E13" s="26"/>
      <c r="F13" s="27"/>
      <c r="G13" s="24"/>
      <c r="H13" s="25"/>
      <c r="I13" s="25"/>
      <c r="J13" s="98">
        <v>0</v>
      </c>
      <c r="K13" s="23"/>
      <c r="L13" s="18"/>
    </row>
    <row r="14" spans="1:18" ht="51.75" customHeight="1" x14ac:dyDescent="0.3">
      <c r="A14" s="21"/>
      <c r="B14" s="266"/>
      <c r="C14" s="499"/>
      <c r="D14" s="179" t="s">
        <v>22</v>
      </c>
      <c r="E14" s="171"/>
      <c r="F14" s="169"/>
      <c r="G14" s="169"/>
      <c r="H14" s="171"/>
      <c r="I14" s="171"/>
      <c r="J14" s="180">
        <v>0</v>
      </c>
      <c r="K14" s="174"/>
      <c r="L14" s="174"/>
    </row>
    <row r="15" spans="1:18" ht="56.25" customHeight="1" x14ac:dyDescent="0.3">
      <c r="A15" s="21"/>
      <c r="C15" s="499"/>
      <c r="D15" s="19" t="s">
        <v>23</v>
      </c>
      <c r="E15" s="171"/>
      <c r="F15" s="169"/>
      <c r="G15" s="169"/>
      <c r="H15" s="171"/>
      <c r="I15" s="171"/>
      <c r="J15" s="98">
        <f>SUM(J17:J18)</f>
        <v>1204000</v>
      </c>
      <c r="K15" s="174"/>
      <c r="L15" s="181"/>
    </row>
    <row r="16" spans="1:18" ht="180" customHeight="1" x14ac:dyDescent="0.3">
      <c r="A16" s="21"/>
      <c r="C16" s="499"/>
      <c r="D16" s="398" t="s">
        <v>36</v>
      </c>
      <c r="E16" s="399"/>
      <c r="F16" s="399"/>
      <c r="G16" s="399"/>
      <c r="H16" s="399"/>
      <c r="I16" s="399"/>
      <c r="J16" s="400"/>
      <c r="K16" s="23"/>
      <c r="L16" s="18"/>
      <c r="R16" s="99" t="s">
        <v>125</v>
      </c>
    </row>
    <row r="17" spans="1:13" ht="62.25" customHeight="1" x14ac:dyDescent="0.3">
      <c r="A17" s="21"/>
      <c r="C17" s="499"/>
      <c r="D17" s="57" t="s">
        <v>357</v>
      </c>
      <c r="E17" s="20" t="s">
        <v>24</v>
      </c>
      <c r="F17" s="35">
        <v>20</v>
      </c>
      <c r="G17" s="113">
        <v>53000</v>
      </c>
      <c r="H17" s="25">
        <v>1</v>
      </c>
      <c r="I17" s="25"/>
      <c r="J17" s="24">
        <f>ROUND((F17*G17*H17),0)</f>
        <v>1060000</v>
      </c>
      <c r="K17" s="67"/>
      <c r="L17" s="67"/>
    </row>
    <row r="18" spans="1:13" ht="62.25" customHeight="1" x14ac:dyDescent="0.3">
      <c r="A18" s="21"/>
      <c r="B18" s="266"/>
      <c r="C18" s="499"/>
      <c r="D18" s="57" t="s">
        <v>358</v>
      </c>
      <c r="E18" s="20" t="s">
        <v>24</v>
      </c>
      <c r="F18" s="35">
        <v>3</v>
      </c>
      <c r="G18" s="113">
        <v>48000</v>
      </c>
      <c r="H18" s="25">
        <v>1</v>
      </c>
      <c r="I18" s="25"/>
      <c r="J18" s="24">
        <f>ROUND((F18*G18*H18),0)</f>
        <v>144000</v>
      </c>
      <c r="K18" s="67"/>
      <c r="L18" s="67"/>
    </row>
    <row r="19" spans="1:13" ht="53.25" customHeight="1" x14ac:dyDescent="0.3">
      <c r="A19" s="21"/>
      <c r="B19" s="266"/>
      <c r="C19" s="499"/>
      <c r="D19" s="19" t="s">
        <v>25</v>
      </c>
      <c r="E19" s="26"/>
      <c r="F19" s="27"/>
      <c r="G19" s="186"/>
      <c r="H19" s="187"/>
      <c r="I19" s="187"/>
      <c r="J19" s="29">
        <v>0</v>
      </c>
      <c r="K19" s="23"/>
      <c r="L19" s="18"/>
    </row>
    <row r="20" spans="1:13" ht="53.25" customHeight="1" x14ac:dyDescent="0.3">
      <c r="A20" s="21"/>
      <c r="B20" s="266"/>
      <c r="C20" s="499"/>
      <c r="D20" s="30" t="s">
        <v>318</v>
      </c>
      <c r="E20" s="31"/>
      <c r="F20" s="32"/>
      <c r="G20" s="188"/>
      <c r="H20" s="189"/>
      <c r="I20" s="189"/>
      <c r="J20" s="33">
        <f>SUM(J21:J23)</f>
        <v>0</v>
      </c>
      <c r="K20" s="23"/>
      <c r="L20" s="18"/>
    </row>
    <row r="21" spans="1:13" ht="171" customHeight="1" x14ac:dyDescent="0.3">
      <c r="A21" s="21"/>
      <c r="B21" s="266"/>
      <c r="C21" s="499"/>
      <c r="D21" s="68" t="s">
        <v>340</v>
      </c>
      <c r="E21" s="496" t="s">
        <v>319</v>
      </c>
      <c r="F21" s="496"/>
      <c r="G21" s="496"/>
      <c r="H21" s="496"/>
      <c r="I21" s="496"/>
      <c r="J21" s="246">
        <v>0</v>
      </c>
      <c r="K21" s="23"/>
      <c r="L21" s="18"/>
    </row>
    <row r="22" spans="1:13" ht="173.25" customHeight="1" x14ac:dyDescent="0.3">
      <c r="A22" s="21"/>
      <c r="B22" s="266"/>
      <c r="C22" s="499"/>
      <c r="D22" s="68" t="s">
        <v>341</v>
      </c>
      <c r="E22" s="497" t="s">
        <v>320</v>
      </c>
      <c r="F22" s="497"/>
      <c r="G22" s="497"/>
      <c r="H22" s="497"/>
      <c r="I22" s="497"/>
      <c r="J22" s="188">
        <v>0</v>
      </c>
      <c r="K22" s="23"/>
      <c r="L22" s="18"/>
    </row>
    <row r="23" spans="1:13" ht="43.5" customHeight="1" x14ac:dyDescent="0.3">
      <c r="A23" s="21"/>
      <c r="B23" s="266"/>
      <c r="C23" s="499"/>
      <c r="D23" s="68" t="s">
        <v>321</v>
      </c>
      <c r="E23" s="289"/>
      <c r="F23" s="289"/>
      <c r="G23" s="289"/>
      <c r="H23" s="289"/>
      <c r="I23" s="289"/>
      <c r="J23" s="59">
        <v>0</v>
      </c>
      <c r="K23" s="23"/>
      <c r="L23" s="18"/>
    </row>
    <row r="24" spans="1:13" ht="45" customHeight="1" x14ac:dyDescent="0.3">
      <c r="A24" s="21"/>
      <c r="B24" s="266"/>
      <c r="C24" s="499"/>
      <c r="D24" s="39" t="s">
        <v>322</v>
      </c>
      <c r="E24" s="40"/>
      <c r="F24" s="41"/>
      <c r="G24" s="42"/>
      <c r="H24" s="43"/>
      <c r="I24" s="43"/>
      <c r="J24" s="44">
        <f>J5+J12+J19+J20</f>
        <v>1204000</v>
      </c>
      <c r="K24" s="23"/>
      <c r="L24" s="18"/>
    </row>
    <row r="25" spans="1:13" ht="46.5" customHeight="1" x14ac:dyDescent="0.3">
      <c r="A25" s="21"/>
      <c r="B25" s="266"/>
      <c r="C25" s="499"/>
      <c r="D25" s="19" t="s">
        <v>326</v>
      </c>
      <c r="E25" s="501" t="s">
        <v>348</v>
      </c>
      <c r="F25" s="502"/>
      <c r="G25" s="502"/>
      <c r="H25" s="502"/>
      <c r="I25" s="503"/>
      <c r="J25" s="33">
        <v>0</v>
      </c>
      <c r="K25" s="23"/>
      <c r="L25" s="18"/>
    </row>
    <row r="26" spans="1:13" ht="80.25" customHeight="1" x14ac:dyDescent="0.3">
      <c r="A26" s="21"/>
      <c r="B26" s="266"/>
      <c r="C26" s="499"/>
      <c r="D26" s="39" t="s">
        <v>31</v>
      </c>
      <c r="E26" s="40"/>
      <c r="F26" s="42"/>
      <c r="G26" s="28"/>
      <c r="H26" s="43"/>
      <c r="I26" s="43"/>
      <c r="J26" s="42"/>
      <c r="K26" s="210">
        <f>J24+J25</f>
        <v>1204000</v>
      </c>
      <c r="L26" s="18"/>
    </row>
    <row r="27" spans="1:13" ht="48.75" customHeight="1" x14ac:dyDescent="0.3">
      <c r="A27" s="21"/>
      <c r="B27" s="266"/>
      <c r="C27" s="499"/>
      <c r="D27" s="190" t="s">
        <v>32</v>
      </c>
      <c r="E27" s="50"/>
      <c r="F27" s="51"/>
      <c r="G27" s="52"/>
      <c r="H27" s="52"/>
      <c r="I27" s="52"/>
      <c r="J27" s="52"/>
      <c r="K27" s="52"/>
      <c r="L27" s="18"/>
    </row>
    <row r="28" spans="1:13" ht="409.5" customHeight="1" x14ac:dyDescent="0.3">
      <c r="A28" s="53"/>
      <c r="B28" s="53"/>
      <c r="C28" s="500"/>
      <c r="D28" s="323" t="s">
        <v>33</v>
      </c>
      <c r="E28" s="55"/>
      <c r="F28" s="443" t="s">
        <v>34</v>
      </c>
      <c r="G28" s="443"/>
      <c r="H28" s="443"/>
      <c r="I28" s="443"/>
      <c r="J28" s="443"/>
      <c r="K28" s="56"/>
      <c r="L28" s="53"/>
    </row>
    <row r="29" spans="1:13" ht="18.75" x14ac:dyDescent="0.25">
      <c r="C29" s="191"/>
    </row>
    <row r="30" spans="1:13" ht="18.75" x14ac:dyDescent="0.25">
      <c r="C30" s="191"/>
      <c r="M30" s="182"/>
    </row>
    <row r="31" spans="1:13" ht="18.75" x14ac:dyDescent="0.25">
      <c r="C31" s="191"/>
    </row>
    <row r="32" spans="1:13" ht="18.75" x14ac:dyDescent="0.25">
      <c r="C32" s="191"/>
    </row>
    <row r="33" spans="3:13" ht="18.75" x14ac:dyDescent="0.25">
      <c r="C33" s="191"/>
      <c r="M33" s="182"/>
    </row>
    <row r="34" spans="3:13" ht="18.75" x14ac:dyDescent="0.25">
      <c r="C34" s="191"/>
      <c r="M34" s="182"/>
    </row>
    <row r="35" spans="3:13" ht="18.75" x14ac:dyDescent="0.25">
      <c r="C35" s="191"/>
    </row>
    <row r="36" spans="3:13" ht="18.75" x14ac:dyDescent="0.25">
      <c r="C36" s="191"/>
    </row>
    <row r="37" spans="3:13" ht="18.75" x14ac:dyDescent="0.25">
      <c r="C37" s="191"/>
    </row>
    <row r="38" spans="3:13" ht="18.75" x14ac:dyDescent="0.25">
      <c r="C38" s="191"/>
    </row>
    <row r="39" spans="3:13" ht="18.75" x14ac:dyDescent="0.25">
      <c r="C39" s="191"/>
    </row>
    <row r="40" spans="3:13" ht="18.75" x14ac:dyDescent="0.25">
      <c r="C40" s="191"/>
    </row>
    <row r="41" spans="3:13" ht="18.75" x14ac:dyDescent="0.25">
      <c r="C41" s="191"/>
    </row>
    <row r="42" spans="3:13" ht="18.75" x14ac:dyDescent="0.25">
      <c r="C42" s="191"/>
    </row>
    <row r="43" spans="3:13" ht="18.75" x14ac:dyDescent="0.25">
      <c r="C43" s="191"/>
    </row>
    <row r="44" spans="3:13" ht="18.75" x14ac:dyDescent="0.25">
      <c r="C44" s="191"/>
    </row>
    <row r="45" spans="3:13" ht="18.75" x14ac:dyDescent="0.25">
      <c r="C45" s="191"/>
    </row>
    <row r="46" spans="3:13" ht="18.75" x14ac:dyDescent="0.25">
      <c r="C46" s="191"/>
    </row>
    <row r="47" spans="3:13" ht="18.75" x14ac:dyDescent="0.25">
      <c r="C47" s="191"/>
    </row>
    <row r="48" spans="3:13" ht="18.75" x14ac:dyDescent="0.25">
      <c r="C48" s="191"/>
    </row>
    <row r="49" spans="3:3" ht="18.75" x14ac:dyDescent="0.25">
      <c r="C49" s="191"/>
    </row>
    <row r="50" spans="3:3" ht="18.75" x14ac:dyDescent="0.25">
      <c r="C50" s="191"/>
    </row>
  </sheetData>
  <mergeCells count="9">
    <mergeCell ref="C4:C28"/>
    <mergeCell ref="B5:B8"/>
    <mergeCell ref="D10:J10"/>
    <mergeCell ref="G11:J11"/>
    <mergeCell ref="D16:J16"/>
    <mergeCell ref="E21:I21"/>
    <mergeCell ref="E22:I22"/>
    <mergeCell ref="E25:I25"/>
    <mergeCell ref="F28:J28"/>
  </mergeCells>
  <pageMargins left="0.7" right="0.7" top="0.75" bottom="0.75" header="0.3" footer="0.3"/>
  <pageSetup paperSize="9" scale="54" fitToHeight="0" orientation="landscape" verticalDpi="0" r:id="rId1"/>
  <headerFooter>
    <oddFooter>&amp;C&amp;A/&amp;P-&amp;N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9"/>
  <sheetViews>
    <sheetView topLeftCell="A25" zoomScale="70" zoomScaleNormal="70" workbookViewId="0">
      <selection activeCell="D27" sqref="D27"/>
    </sheetView>
  </sheetViews>
  <sheetFormatPr defaultColWidth="9" defaultRowHeight="15" x14ac:dyDescent="0.25"/>
  <cols>
    <col min="1" max="1" width="4.85546875" style="99" customWidth="1"/>
    <col min="2" max="2" width="24.7109375" style="99" customWidth="1"/>
    <col min="3" max="3" width="69.5703125" style="99" customWidth="1"/>
    <col min="4" max="4" width="55.5703125" style="99" customWidth="1"/>
    <col min="5" max="5" width="8.5703125" style="99" customWidth="1"/>
    <col min="6" max="6" width="9.42578125" style="99" customWidth="1"/>
    <col min="7" max="7" width="11.140625" style="99" customWidth="1"/>
    <col min="8" max="8" width="7.42578125" style="99" customWidth="1"/>
    <col min="9" max="9" width="11" style="99" customWidth="1"/>
    <col min="10" max="10" width="17.42578125" style="99" customWidth="1"/>
    <col min="11" max="11" width="15.5703125" style="99" customWidth="1"/>
    <col min="12" max="12" width="7" style="99" customWidth="1"/>
    <col min="13" max="16384" width="9" style="99"/>
  </cols>
  <sheetData>
    <row r="1" spans="1:18" ht="18.75" x14ac:dyDescent="0.3">
      <c r="A1" s="1" t="s">
        <v>0</v>
      </c>
      <c r="B1" s="2"/>
      <c r="C1" s="3"/>
      <c r="D1" s="3"/>
      <c r="E1" s="3"/>
      <c r="F1" s="3"/>
      <c r="G1" s="3"/>
      <c r="H1" s="3"/>
      <c r="I1" s="3"/>
      <c r="J1" s="3"/>
      <c r="K1" s="2"/>
      <c r="L1" s="2"/>
    </row>
    <row r="2" spans="1:18" ht="60.75" customHeight="1" x14ac:dyDescent="0.25">
      <c r="A2" s="4" t="s">
        <v>1</v>
      </c>
      <c r="B2" s="5" t="s">
        <v>2</v>
      </c>
      <c r="C2" s="6" t="s">
        <v>3</v>
      </c>
      <c r="D2" s="6" t="s">
        <v>4</v>
      </c>
      <c r="E2" s="6" t="s">
        <v>5</v>
      </c>
      <c r="F2" s="7" t="s">
        <v>6</v>
      </c>
      <c r="G2" s="8" t="s">
        <v>7</v>
      </c>
      <c r="H2" s="9" t="s">
        <v>8</v>
      </c>
      <c r="I2" s="9" t="s">
        <v>9</v>
      </c>
      <c r="J2" s="8" t="s">
        <v>10</v>
      </c>
      <c r="K2" s="10" t="s">
        <v>11</v>
      </c>
      <c r="L2" s="10" t="s">
        <v>12</v>
      </c>
    </row>
    <row r="3" spans="1:18" ht="18.75" x14ac:dyDescent="0.25">
      <c r="A3" s="11">
        <v>1</v>
      </c>
      <c r="B3" s="12">
        <v>2</v>
      </c>
      <c r="C3" s="13">
        <v>3</v>
      </c>
      <c r="D3" s="14">
        <v>4</v>
      </c>
      <c r="E3" s="13">
        <v>5</v>
      </c>
      <c r="F3" s="13">
        <v>6</v>
      </c>
      <c r="G3" s="13">
        <v>7</v>
      </c>
      <c r="H3" s="13">
        <v>8</v>
      </c>
      <c r="I3" s="13">
        <v>9</v>
      </c>
      <c r="J3" s="12">
        <v>10</v>
      </c>
      <c r="K3" s="14">
        <v>11</v>
      </c>
      <c r="L3" s="14">
        <v>12</v>
      </c>
    </row>
    <row r="4" spans="1:18" ht="60" customHeight="1" x14ac:dyDescent="0.3">
      <c r="A4" s="15">
        <v>19</v>
      </c>
      <c r="B4" s="103" t="s">
        <v>363</v>
      </c>
      <c r="C4" s="498" t="s">
        <v>489</v>
      </c>
      <c r="D4" s="78"/>
      <c r="E4" s="79"/>
      <c r="F4" s="79"/>
      <c r="G4" s="79"/>
      <c r="H4" s="79"/>
      <c r="I4" s="79"/>
      <c r="J4" s="80"/>
      <c r="K4" s="81"/>
      <c r="L4" s="17"/>
    </row>
    <row r="5" spans="1:18" ht="60" customHeight="1" x14ac:dyDescent="0.3">
      <c r="A5" s="18"/>
      <c r="B5" s="433" t="s">
        <v>327</v>
      </c>
      <c r="C5" s="499"/>
      <c r="D5" s="82" t="s">
        <v>13</v>
      </c>
      <c r="E5" s="83"/>
      <c r="F5" s="83"/>
      <c r="G5" s="83"/>
      <c r="H5" s="83"/>
      <c r="I5" s="83"/>
      <c r="J5" s="160">
        <f>J11</f>
        <v>0</v>
      </c>
      <c r="K5" s="86"/>
      <c r="L5" s="18"/>
    </row>
    <row r="6" spans="1:18" ht="60" customHeight="1" x14ac:dyDescent="0.3">
      <c r="A6" s="18"/>
      <c r="B6" s="434"/>
      <c r="C6" s="499"/>
      <c r="D6" s="19" t="s">
        <v>359</v>
      </c>
      <c r="E6" s="87" t="s">
        <v>14</v>
      </c>
      <c r="F6" s="97">
        <v>400</v>
      </c>
      <c r="G6" s="89"/>
      <c r="H6" s="90"/>
      <c r="I6" s="90"/>
      <c r="J6" s="89"/>
      <c r="K6" s="91"/>
      <c r="L6" s="18"/>
    </row>
    <row r="7" spans="1:18" ht="60" customHeight="1" x14ac:dyDescent="0.3">
      <c r="A7" s="18"/>
      <c r="B7" s="434"/>
      <c r="C7" s="499"/>
      <c r="D7" s="95" t="s">
        <v>228</v>
      </c>
      <c r="E7" s="20" t="s">
        <v>14</v>
      </c>
      <c r="F7" s="222">
        <v>400</v>
      </c>
      <c r="G7" s="94"/>
      <c r="H7" s="90"/>
      <c r="I7" s="90"/>
      <c r="J7" s="89"/>
      <c r="K7" s="91"/>
      <c r="L7" s="18"/>
    </row>
    <row r="8" spans="1:18" ht="60" customHeight="1" x14ac:dyDescent="0.3">
      <c r="A8" s="21"/>
      <c r="B8" s="434"/>
      <c r="C8" s="499"/>
      <c r="D8" s="95" t="s">
        <v>15</v>
      </c>
      <c r="E8" s="20" t="s">
        <v>14</v>
      </c>
      <c r="F8" s="222">
        <v>0</v>
      </c>
      <c r="G8" s="89"/>
      <c r="H8" s="90"/>
      <c r="I8" s="90"/>
      <c r="J8" s="94"/>
      <c r="K8" s="91"/>
      <c r="L8" s="18"/>
    </row>
    <row r="9" spans="1:18" ht="60" customHeight="1" x14ac:dyDescent="0.3">
      <c r="A9" s="21"/>
      <c r="B9" s="223"/>
      <c r="C9" s="499"/>
      <c r="D9" s="19" t="s">
        <v>282</v>
      </c>
      <c r="E9" s="87" t="s">
        <v>14</v>
      </c>
      <c r="F9" s="97">
        <f>SUM(F7)</f>
        <v>400</v>
      </c>
      <c r="G9" s="89"/>
      <c r="H9" s="90"/>
      <c r="I9" s="90"/>
      <c r="J9" s="89"/>
      <c r="K9" s="91"/>
      <c r="L9" s="18"/>
    </row>
    <row r="10" spans="1:18" ht="144.75" customHeight="1" x14ac:dyDescent="0.3">
      <c r="A10" s="21"/>
      <c r="B10" s="283" t="s">
        <v>360</v>
      </c>
      <c r="C10" s="499"/>
      <c r="D10" s="488" t="s">
        <v>313</v>
      </c>
      <c r="E10" s="488"/>
      <c r="F10" s="488"/>
      <c r="G10" s="488"/>
      <c r="H10" s="488"/>
      <c r="I10" s="488"/>
      <c r="J10" s="488"/>
      <c r="K10" s="23"/>
      <c r="L10" s="18"/>
    </row>
    <row r="11" spans="1:18" ht="138" customHeight="1" x14ac:dyDescent="0.3">
      <c r="A11" s="21"/>
      <c r="B11" s="66" t="s">
        <v>17</v>
      </c>
      <c r="C11" s="499"/>
      <c r="D11" s="284" t="s">
        <v>361</v>
      </c>
      <c r="E11" s="285" t="s">
        <v>14</v>
      </c>
      <c r="F11" s="286">
        <f>F9</f>
        <v>400</v>
      </c>
      <c r="G11" s="489" t="s">
        <v>315</v>
      </c>
      <c r="H11" s="489"/>
      <c r="I11" s="489"/>
      <c r="J11" s="489"/>
      <c r="K11" s="287"/>
      <c r="L11" s="18"/>
    </row>
    <row r="12" spans="1:18" ht="85.5" customHeight="1" x14ac:dyDescent="0.3">
      <c r="A12" s="21"/>
      <c r="B12" s="266" t="s">
        <v>18</v>
      </c>
      <c r="C12" s="499"/>
      <c r="D12" s="19" t="s">
        <v>19</v>
      </c>
      <c r="E12" s="26"/>
      <c r="F12" s="27"/>
      <c r="G12" s="24"/>
      <c r="H12" s="25"/>
      <c r="I12" s="25"/>
      <c r="J12" s="98">
        <f>J13+J14+J15</f>
        <v>106000</v>
      </c>
      <c r="K12" s="23"/>
      <c r="L12" s="18"/>
    </row>
    <row r="13" spans="1:18" ht="44.25" customHeight="1" x14ac:dyDescent="0.3">
      <c r="A13" s="21"/>
      <c r="B13" s="283"/>
      <c r="C13" s="499"/>
      <c r="D13" s="19" t="s">
        <v>316</v>
      </c>
      <c r="E13" s="26"/>
      <c r="F13" s="27"/>
      <c r="G13" s="24"/>
      <c r="H13" s="25"/>
      <c r="I13" s="25"/>
      <c r="J13" s="24">
        <v>0</v>
      </c>
      <c r="K13" s="23"/>
      <c r="L13" s="18"/>
    </row>
    <row r="14" spans="1:18" ht="36.75" customHeight="1" x14ac:dyDescent="0.3">
      <c r="A14" s="21"/>
      <c r="C14" s="499"/>
      <c r="D14" s="179" t="s">
        <v>22</v>
      </c>
      <c r="E14" s="171"/>
      <c r="F14" s="169"/>
      <c r="G14" s="169"/>
      <c r="H14" s="171"/>
      <c r="I14" s="171"/>
      <c r="J14" s="173">
        <v>0</v>
      </c>
      <c r="K14" s="174"/>
      <c r="L14" s="174"/>
    </row>
    <row r="15" spans="1:18" ht="36.75" customHeight="1" x14ac:dyDescent="0.3">
      <c r="A15" s="21"/>
      <c r="C15" s="499"/>
      <c r="D15" s="19" t="s">
        <v>23</v>
      </c>
      <c r="E15" s="171"/>
      <c r="F15" s="169"/>
      <c r="G15" s="169"/>
      <c r="H15" s="171"/>
      <c r="I15" s="171"/>
      <c r="J15" s="24">
        <f>SUM(J17:J17)</f>
        <v>106000</v>
      </c>
      <c r="K15" s="174"/>
      <c r="L15" s="181"/>
    </row>
    <row r="16" spans="1:18" ht="156" customHeight="1" x14ac:dyDescent="0.3">
      <c r="A16" s="21"/>
      <c r="C16" s="499"/>
      <c r="D16" s="398" t="s">
        <v>36</v>
      </c>
      <c r="E16" s="399"/>
      <c r="F16" s="399"/>
      <c r="G16" s="399"/>
      <c r="H16" s="399"/>
      <c r="I16" s="399"/>
      <c r="J16" s="400"/>
      <c r="K16" s="23"/>
      <c r="L16" s="18"/>
      <c r="R16" s="99" t="s">
        <v>125</v>
      </c>
    </row>
    <row r="17" spans="1:13" ht="74.25" customHeight="1" x14ac:dyDescent="0.3">
      <c r="A17" s="21"/>
      <c r="C17" s="499"/>
      <c r="D17" s="57" t="s">
        <v>362</v>
      </c>
      <c r="E17" s="20" t="s">
        <v>24</v>
      </c>
      <c r="F17" s="35">
        <v>2</v>
      </c>
      <c r="G17" s="113">
        <v>53000</v>
      </c>
      <c r="H17" s="25">
        <v>1</v>
      </c>
      <c r="I17" s="25"/>
      <c r="J17" s="24">
        <f>ROUND((F17*G17*H17),0)</f>
        <v>106000</v>
      </c>
      <c r="K17" s="67"/>
      <c r="L17" s="67"/>
    </row>
    <row r="18" spans="1:13" ht="51" customHeight="1" x14ac:dyDescent="0.3">
      <c r="A18" s="21"/>
      <c r="B18" s="266"/>
      <c r="C18" s="499"/>
      <c r="D18" s="19" t="s">
        <v>25</v>
      </c>
      <c r="E18" s="26"/>
      <c r="F18" s="27"/>
      <c r="G18" s="186"/>
      <c r="H18" s="187"/>
      <c r="I18" s="187"/>
      <c r="J18" s="29">
        <v>0</v>
      </c>
      <c r="K18" s="23"/>
      <c r="L18" s="18"/>
    </row>
    <row r="19" spans="1:13" ht="51" customHeight="1" x14ac:dyDescent="0.3">
      <c r="A19" s="21"/>
      <c r="B19" s="266"/>
      <c r="C19" s="499"/>
      <c r="D19" s="30" t="s">
        <v>318</v>
      </c>
      <c r="E19" s="31"/>
      <c r="F19" s="32"/>
      <c r="G19" s="188"/>
      <c r="H19" s="189"/>
      <c r="I19" s="189"/>
      <c r="J19" s="33">
        <f>SUM(J20:J22)</f>
        <v>0</v>
      </c>
      <c r="K19" s="23"/>
      <c r="L19" s="18"/>
    </row>
    <row r="20" spans="1:13" ht="177.75" customHeight="1" x14ac:dyDescent="0.3">
      <c r="A20" s="21"/>
      <c r="B20" s="266"/>
      <c r="C20" s="499"/>
      <c r="D20" s="68" t="s">
        <v>340</v>
      </c>
      <c r="E20" s="496" t="s">
        <v>319</v>
      </c>
      <c r="F20" s="496"/>
      <c r="G20" s="496"/>
      <c r="H20" s="496"/>
      <c r="I20" s="496"/>
      <c r="J20" s="246">
        <v>0</v>
      </c>
      <c r="K20" s="23"/>
      <c r="L20" s="18"/>
    </row>
    <row r="21" spans="1:13" ht="177" customHeight="1" x14ac:dyDescent="0.3">
      <c r="A21" s="21"/>
      <c r="B21" s="266"/>
      <c r="C21" s="499"/>
      <c r="D21" s="68" t="s">
        <v>341</v>
      </c>
      <c r="E21" s="497" t="s">
        <v>320</v>
      </c>
      <c r="F21" s="497"/>
      <c r="G21" s="497"/>
      <c r="H21" s="497"/>
      <c r="I21" s="497"/>
      <c r="J21" s="188">
        <v>0</v>
      </c>
      <c r="K21" s="23"/>
      <c r="L21" s="18"/>
    </row>
    <row r="22" spans="1:13" ht="30.75" customHeight="1" x14ac:dyDescent="0.3">
      <c r="A22" s="21"/>
      <c r="B22" s="266"/>
      <c r="C22" s="499"/>
      <c r="D22" s="68" t="s">
        <v>321</v>
      </c>
      <c r="E22" s="289"/>
      <c r="F22" s="289"/>
      <c r="G22" s="289"/>
      <c r="H22" s="289"/>
      <c r="I22" s="289"/>
      <c r="J22" s="59">
        <v>0</v>
      </c>
      <c r="K22" s="23"/>
      <c r="L22" s="18"/>
    </row>
    <row r="23" spans="1:13" ht="30.75" customHeight="1" x14ac:dyDescent="0.3">
      <c r="A23" s="21"/>
      <c r="B23" s="266"/>
      <c r="C23" s="499"/>
      <c r="D23" s="39" t="s">
        <v>322</v>
      </c>
      <c r="E23" s="40"/>
      <c r="F23" s="41"/>
      <c r="G23" s="42"/>
      <c r="H23" s="43"/>
      <c r="I23" s="43"/>
      <c r="J23" s="44">
        <f>J5+J12+J18+J19</f>
        <v>106000</v>
      </c>
      <c r="K23" s="23"/>
      <c r="L23" s="18"/>
    </row>
    <row r="24" spans="1:13" ht="33" customHeight="1" x14ac:dyDescent="0.3">
      <c r="A24" s="21"/>
      <c r="B24" s="266"/>
      <c r="C24" s="499"/>
      <c r="D24" s="19" t="s">
        <v>326</v>
      </c>
      <c r="E24" s="501" t="s">
        <v>348</v>
      </c>
      <c r="F24" s="502"/>
      <c r="G24" s="502"/>
      <c r="H24" s="502"/>
      <c r="I24" s="503"/>
      <c r="J24" s="33">
        <v>0</v>
      </c>
      <c r="K24" s="23"/>
      <c r="L24" s="18"/>
    </row>
    <row r="25" spans="1:13" ht="51.75" customHeight="1" x14ac:dyDescent="0.3">
      <c r="A25" s="21"/>
      <c r="B25" s="266"/>
      <c r="C25" s="499"/>
      <c r="D25" s="39" t="s">
        <v>31</v>
      </c>
      <c r="E25" s="40"/>
      <c r="F25" s="42"/>
      <c r="G25" s="28"/>
      <c r="H25" s="43"/>
      <c r="I25" s="43"/>
      <c r="J25" s="42"/>
      <c r="K25" s="210">
        <f>J23+J24</f>
        <v>106000</v>
      </c>
      <c r="L25" s="18"/>
    </row>
    <row r="26" spans="1:13" ht="39" customHeight="1" x14ac:dyDescent="0.3">
      <c r="A26" s="21"/>
      <c r="B26" s="266"/>
      <c r="C26" s="499"/>
      <c r="D26" s="190" t="s">
        <v>32</v>
      </c>
      <c r="E26" s="50"/>
      <c r="F26" s="51"/>
      <c r="G26" s="52"/>
      <c r="H26" s="52"/>
      <c r="I26" s="52"/>
      <c r="J26" s="52"/>
      <c r="K26" s="52"/>
      <c r="L26" s="18"/>
    </row>
    <row r="27" spans="1:13" ht="408.75" customHeight="1" x14ac:dyDescent="0.3">
      <c r="A27" s="53"/>
      <c r="B27" s="53"/>
      <c r="C27" s="500"/>
      <c r="D27" s="323" t="s">
        <v>33</v>
      </c>
      <c r="E27" s="55"/>
      <c r="F27" s="408" t="s">
        <v>34</v>
      </c>
      <c r="G27" s="408"/>
      <c r="H27" s="408"/>
      <c r="I27" s="408"/>
      <c r="J27" s="408"/>
      <c r="K27" s="56"/>
      <c r="L27" s="53"/>
    </row>
    <row r="28" spans="1:13" ht="18.75" x14ac:dyDescent="0.25">
      <c r="C28" s="191"/>
    </row>
    <row r="29" spans="1:13" ht="18.75" x14ac:dyDescent="0.25">
      <c r="C29" s="191"/>
    </row>
    <row r="30" spans="1:13" ht="18.75" x14ac:dyDescent="0.25">
      <c r="C30" s="191"/>
      <c r="M30" s="182"/>
    </row>
    <row r="31" spans="1:13" ht="18.75" x14ac:dyDescent="0.25">
      <c r="C31" s="191"/>
    </row>
    <row r="32" spans="1:13" ht="18.75" x14ac:dyDescent="0.25">
      <c r="C32" s="191"/>
    </row>
    <row r="33" spans="3:13" ht="18.75" x14ac:dyDescent="0.25">
      <c r="C33" s="191"/>
      <c r="M33" s="182"/>
    </row>
    <row r="34" spans="3:13" ht="18.75" x14ac:dyDescent="0.25">
      <c r="C34" s="191"/>
      <c r="M34" s="182"/>
    </row>
    <row r="35" spans="3:13" ht="18.75" x14ac:dyDescent="0.25">
      <c r="C35" s="191"/>
    </row>
    <row r="36" spans="3:13" ht="18.75" x14ac:dyDescent="0.25">
      <c r="C36" s="191"/>
    </row>
    <row r="37" spans="3:13" ht="18.75" x14ac:dyDescent="0.25">
      <c r="C37" s="191"/>
    </row>
    <row r="38" spans="3:13" ht="18.75" x14ac:dyDescent="0.25">
      <c r="C38" s="191"/>
    </row>
    <row r="39" spans="3:13" ht="18.75" x14ac:dyDescent="0.25">
      <c r="C39" s="191"/>
    </row>
    <row r="40" spans="3:13" ht="18.75" x14ac:dyDescent="0.25">
      <c r="C40" s="191"/>
    </row>
    <row r="41" spans="3:13" ht="18.75" x14ac:dyDescent="0.25">
      <c r="C41" s="191"/>
    </row>
    <row r="42" spans="3:13" ht="18.75" x14ac:dyDescent="0.25">
      <c r="C42" s="191"/>
    </row>
    <row r="43" spans="3:13" ht="18.75" x14ac:dyDescent="0.25">
      <c r="C43" s="191"/>
    </row>
    <row r="44" spans="3:13" ht="18.75" x14ac:dyDescent="0.25">
      <c r="C44" s="191"/>
    </row>
    <row r="45" spans="3:13" ht="18.75" x14ac:dyDescent="0.25">
      <c r="C45" s="191"/>
    </row>
    <row r="46" spans="3:13" ht="18.75" x14ac:dyDescent="0.25">
      <c r="C46" s="191"/>
    </row>
    <row r="47" spans="3:13" ht="18.75" x14ac:dyDescent="0.25">
      <c r="C47" s="191"/>
    </row>
    <row r="48" spans="3:13" ht="18.75" x14ac:dyDescent="0.25">
      <c r="C48" s="191"/>
    </row>
    <row r="49" spans="3:3" ht="18.75" x14ac:dyDescent="0.25">
      <c r="C49" s="191"/>
    </row>
  </sheetData>
  <mergeCells count="9">
    <mergeCell ref="C4:C27"/>
    <mergeCell ref="B5:B8"/>
    <mergeCell ref="D10:J10"/>
    <mergeCell ref="G11:J11"/>
    <mergeCell ref="D16:J16"/>
    <mergeCell ref="E20:I20"/>
    <mergeCell ref="E21:I21"/>
    <mergeCell ref="E24:I24"/>
    <mergeCell ref="F27:J27"/>
  </mergeCells>
  <pageMargins left="0.7" right="0.7" top="0.75" bottom="0.75" header="0.3" footer="0.3"/>
  <pageSetup paperSize="9" scale="54" fitToHeight="0" orientation="landscape" verticalDpi="0" r:id="rId1"/>
  <headerFooter>
    <oddFooter>&amp;C&amp;A/&amp;P-&amp;N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38</vt:i4>
      </vt:variant>
    </vt:vector>
  </HeadingPairs>
  <TitlesOfParts>
    <vt:vector size="59" baseType="lpstr">
      <vt:lpstr>BANG TH</vt:lpstr>
      <vt:lpstr>PHÁP LÝ</vt:lpstr>
      <vt:lpstr>N.T.P.Nie (T116)</vt:lpstr>
      <vt:lpstr>N.N.Như Ý (T117)</vt:lpstr>
      <vt:lpstr>N.Thị Hà (T118)</vt:lpstr>
      <vt:lpstr>L.THỊ THÀNH (T115)</vt:lpstr>
      <vt:lpstr>T.THỊ TÂM (T51)</vt:lpstr>
      <vt:lpstr>L.T.MỸ HÒA (T62)</vt:lpstr>
      <vt:lpstr>N.T.CẨM VÂN (T60)</vt:lpstr>
      <vt:lpstr>L.THỊ DẦU (T61)</vt:lpstr>
      <vt:lpstr>N.THANH MINH (T123)</vt:lpstr>
      <vt:lpstr>L.V.Quang (T95)</vt:lpstr>
      <vt:lpstr>L.V.Quang (T94)</vt:lpstr>
      <vt:lpstr>ĐĐSang(T214)</vt:lpstr>
      <vt:lpstr>ĐĐSang(T265)</vt:lpstr>
      <vt:lpstr>ĐĐSang(T272)</vt:lpstr>
      <vt:lpstr>LATuấn(T96)</vt:lpstr>
      <vt:lpstr>LATuấn(T97)</vt:lpstr>
      <vt:lpstr>LATuấn(T262)</vt:lpstr>
      <vt:lpstr>LATuấn(T288)</vt:lpstr>
      <vt:lpstr>LATuấn(T290)</vt:lpstr>
      <vt:lpstr>'BANG TH'!Print_Area</vt:lpstr>
      <vt:lpstr>'ĐĐSang(T214)'!Print_Area</vt:lpstr>
      <vt:lpstr>'ĐĐSang(T265)'!Print_Area</vt:lpstr>
      <vt:lpstr>'ĐĐSang(T272)'!Print_Area</vt:lpstr>
      <vt:lpstr>'L.T.MỸ HÒA (T62)'!Print_Area</vt:lpstr>
      <vt:lpstr>'L.THỊ DẦU (T61)'!Print_Area</vt:lpstr>
      <vt:lpstr>'L.THỊ THÀNH (T115)'!Print_Area</vt:lpstr>
      <vt:lpstr>'L.V.Quang (T94)'!Print_Area</vt:lpstr>
      <vt:lpstr>'L.V.Quang (T95)'!Print_Area</vt:lpstr>
      <vt:lpstr>'LATuấn(T262)'!Print_Area</vt:lpstr>
      <vt:lpstr>'LATuấn(T288)'!Print_Area</vt:lpstr>
      <vt:lpstr>'LATuấn(T290)'!Print_Area</vt:lpstr>
      <vt:lpstr>'LATuấn(T96)'!Print_Area</vt:lpstr>
      <vt:lpstr>'LATuấn(T97)'!Print_Area</vt:lpstr>
      <vt:lpstr>'N.N.Như Ý (T117)'!Print_Area</vt:lpstr>
      <vt:lpstr>'N.T.CẨM VÂN (T60)'!Print_Area</vt:lpstr>
      <vt:lpstr>'N.T.P.Nie (T116)'!Print_Area</vt:lpstr>
      <vt:lpstr>'N.THANH MINH (T123)'!Print_Area</vt:lpstr>
      <vt:lpstr>'N.Thị Hà (T118)'!Print_Area</vt:lpstr>
      <vt:lpstr>'PHÁP LÝ'!Print_Area</vt:lpstr>
      <vt:lpstr>'T.THỊ TÂM (T51)'!Print_Area</vt:lpstr>
      <vt:lpstr>'BANG TH'!Print_Titles</vt:lpstr>
      <vt:lpstr>'ĐĐSang(T265)'!Print_Titles</vt:lpstr>
      <vt:lpstr>'L.T.MỸ HÒA (T62)'!Print_Titles</vt:lpstr>
      <vt:lpstr>'L.THỊ DẦU (T61)'!Print_Titles</vt:lpstr>
      <vt:lpstr>'L.THỊ THÀNH (T115)'!Print_Titles</vt:lpstr>
      <vt:lpstr>'L.V.Quang (T94)'!Print_Titles</vt:lpstr>
      <vt:lpstr>'L.V.Quang (T95)'!Print_Titles</vt:lpstr>
      <vt:lpstr>'LATuấn(T262)'!Print_Titles</vt:lpstr>
      <vt:lpstr>'LATuấn(T288)'!Print_Titles</vt:lpstr>
      <vt:lpstr>'LATuấn(T290)'!Print_Titles</vt:lpstr>
      <vt:lpstr>'LATuấn(T96)'!Print_Titles</vt:lpstr>
      <vt:lpstr>'N.N.Như Ý (T117)'!Print_Titles</vt:lpstr>
      <vt:lpstr>'N.T.CẨM VÂN (T60)'!Print_Titles</vt:lpstr>
      <vt:lpstr>'N.T.P.Nie (T116)'!Print_Titles</vt:lpstr>
      <vt:lpstr>'N.THANH MINH (T123)'!Print_Titles</vt:lpstr>
      <vt:lpstr>'N.Thị Hà (T118)'!Print_Titles</vt:lpstr>
      <vt:lpstr>'T.THỊ TÂM (T51)'!Print_Titles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 22</dc:creator>
  <cp:lastModifiedBy>USER</cp:lastModifiedBy>
  <cp:lastPrinted>2026-09-29T01:48:43Z</cp:lastPrinted>
  <dcterms:created xsi:type="dcterms:W3CDTF">2026-07-09T08:51:15Z</dcterms:created>
  <dcterms:modified xsi:type="dcterms:W3CDTF">2026-10-06T08:27:04Z</dcterms:modified>
</cp:coreProperties>
</file>